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hudgov.sharepoint.com/sites/OSDBUTeam/Shared Documents/HUD Forecast of Contracting Opportunities/FY 2024-2025 HUD Forecast/Version 1/"/>
    </mc:Choice>
  </mc:AlternateContent>
  <xr:revisionPtr revIDLastSave="1231" documentId="8_{92FC86A7-FBEF-4CB1-8A8B-4DE670E54C50}" xr6:coauthVersionLast="47" xr6:coauthVersionMax="47" xr10:uidLastSave="{60196D45-3C9C-4D78-AB38-8C3089DED946}"/>
  <bookViews>
    <workbookView xWindow="-28920" yWindow="-120" windowWidth="29040" windowHeight="15840" xr2:uid="{8168CBC0-B742-46EA-B785-EDE9FB20879E}"/>
  </bookViews>
  <sheets>
    <sheet name="FORECAST COVER PAGE" sheetId="46" r:id="rId1"/>
    <sheet name="PUBLIC LAW 100-656" sheetId="47" r:id="rId2"/>
    <sheet name="TABLE OF CONTENTS" sheetId="48" r:id="rId3"/>
    <sheet name="INTRODUCTION-OSDBU MISSION" sheetId="49" r:id="rId4"/>
    <sheet name="OSDBU STAFF" sheetId="50" r:id="rId5"/>
    <sheet name="HOW TO MARKET TO HUD" sheetId="51" r:id="rId6"/>
    <sheet name="FORECAST OVERVIEW" sheetId="52" r:id="rId7"/>
    <sheet name="FORECAST CATEGORIES" sheetId="53" r:id="rId8"/>
    <sheet name="GLOSSARY" sheetId="54" r:id="rId9"/>
    <sheet name="PRODUCTS AND SERVICES" sheetId="11" r:id="rId10"/>
    <sheet name="ACQUISITION BY THRESHOLDS" sheetId="33" r:id="rId11"/>
    <sheet name="ACQUISITION BY NAICS CODE" sheetId="36" r:id="rId12"/>
    <sheet name="ACQUISITION BY TYPE" sheetId="35" r:id="rId13"/>
  </sheets>
  <definedNames>
    <definedName name="_xlnm._FilterDatabase" localSheetId="9" hidden="1">'PRODUCTS AND SERVICES'!$A$3:$L$237</definedName>
    <definedName name="Field_Policy___Management" localSheetId="9">'PRODUCTS AND SERVICES'!#REF!</definedName>
    <definedName name="_xlnm.Print_Area" localSheetId="11">'ACQUISITION BY NAICS CODE'!$A$1:$T$60</definedName>
    <definedName name="_xlnm.Print_Area" localSheetId="5">'HOW TO MARKET TO HUD'!$A$1:$O$25</definedName>
    <definedName name="_xlnm.Print_Titles" localSheetId="9">'PRODUCTS AND SERVICES'!$1:$3</definedName>
    <definedName name="TableName">"Dummy"</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5" l="1"/>
  <c r="B9" i="35"/>
  <c r="C10" i="36"/>
  <c r="D10" i="36"/>
  <c r="E10" i="36"/>
  <c r="F10" i="36"/>
  <c r="G10" i="36"/>
  <c r="H10" i="36"/>
  <c r="I10" i="36"/>
  <c r="J10" i="36"/>
  <c r="K10" i="36"/>
  <c r="L10" i="36"/>
  <c r="M10" i="36"/>
  <c r="N10" i="36"/>
  <c r="O10" i="36"/>
  <c r="P10" i="36"/>
  <c r="Q10" i="36"/>
  <c r="R10" i="36"/>
  <c r="C55" i="36"/>
  <c r="D55" i="36"/>
  <c r="E55" i="36"/>
  <c r="F55" i="36"/>
  <c r="G55" i="36"/>
  <c r="H55" i="36"/>
  <c r="I55" i="36"/>
  <c r="J55" i="36"/>
  <c r="K55" i="36"/>
  <c r="L55" i="36"/>
  <c r="M55" i="36"/>
  <c r="N55" i="36"/>
  <c r="O55" i="36"/>
  <c r="P55" i="36"/>
  <c r="Q55" i="36"/>
  <c r="R55" i="36"/>
  <c r="C54" i="36"/>
  <c r="D54" i="36"/>
  <c r="E54" i="36"/>
  <c r="F54" i="36"/>
  <c r="G54" i="36"/>
  <c r="H54" i="36"/>
  <c r="I54" i="36"/>
  <c r="J54" i="36"/>
  <c r="K54" i="36"/>
  <c r="L54" i="36"/>
  <c r="M54" i="36"/>
  <c r="N54" i="36"/>
  <c r="O54" i="36"/>
  <c r="P54" i="36"/>
  <c r="Q54" i="36"/>
  <c r="R54" i="36"/>
  <c r="C52" i="36"/>
  <c r="D52" i="36"/>
  <c r="E52" i="36"/>
  <c r="F52" i="36"/>
  <c r="G52" i="36"/>
  <c r="H52" i="36"/>
  <c r="I52" i="36"/>
  <c r="J52" i="36"/>
  <c r="K52" i="36"/>
  <c r="L52" i="36"/>
  <c r="M52" i="36"/>
  <c r="N52" i="36"/>
  <c r="O52" i="36"/>
  <c r="P52" i="36"/>
  <c r="Q52" i="36"/>
  <c r="R52" i="36"/>
  <c r="C51" i="36"/>
  <c r="D51" i="36"/>
  <c r="E51" i="36"/>
  <c r="F51" i="36"/>
  <c r="G51" i="36"/>
  <c r="H51" i="36"/>
  <c r="I51" i="36"/>
  <c r="J51" i="36"/>
  <c r="K51" i="36"/>
  <c r="L51" i="36"/>
  <c r="M51" i="36"/>
  <c r="N51" i="36"/>
  <c r="O51" i="36"/>
  <c r="P51" i="36"/>
  <c r="Q51" i="36"/>
  <c r="R51" i="36"/>
  <c r="C48" i="36"/>
  <c r="D48" i="36"/>
  <c r="E48" i="36"/>
  <c r="F48" i="36"/>
  <c r="G48" i="36"/>
  <c r="H48" i="36"/>
  <c r="I48" i="36"/>
  <c r="J48" i="36"/>
  <c r="K48" i="36"/>
  <c r="L48" i="36"/>
  <c r="M48" i="36"/>
  <c r="N48" i="36"/>
  <c r="O48" i="36"/>
  <c r="P48" i="36"/>
  <c r="Q48" i="36"/>
  <c r="R48" i="36"/>
  <c r="C40" i="36"/>
  <c r="D40" i="36"/>
  <c r="E40" i="36"/>
  <c r="F40" i="36"/>
  <c r="G40" i="36"/>
  <c r="H40" i="36"/>
  <c r="I40" i="36"/>
  <c r="J40" i="36"/>
  <c r="K40" i="36"/>
  <c r="L40" i="36"/>
  <c r="M40" i="36"/>
  <c r="N40" i="36"/>
  <c r="O40" i="36"/>
  <c r="P40" i="36"/>
  <c r="Q40" i="36"/>
  <c r="R40" i="36"/>
  <c r="C32" i="36"/>
  <c r="D32" i="36"/>
  <c r="E32" i="36"/>
  <c r="F32" i="36"/>
  <c r="G32" i="36"/>
  <c r="H32" i="36"/>
  <c r="I32" i="36"/>
  <c r="J32" i="36"/>
  <c r="K32" i="36"/>
  <c r="L32" i="36"/>
  <c r="M32" i="36"/>
  <c r="N32" i="36"/>
  <c r="O32" i="36"/>
  <c r="P32" i="36"/>
  <c r="Q32" i="36"/>
  <c r="R32" i="36"/>
  <c r="C29" i="36"/>
  <c r="D29" i="36"/>
  <c r="E29" i="36"/>
  <c r="F29" i="36"/>
  <c r="G29" i="36"/>
  <c r="H29" i="36"/>
  <c r="I29" i="36"/>
  <c r="J29" i="36"/>
  <c r="K29" i="36"/>
  <c r="L29" i="36"/>
  <c r="M29" i="36"/>
  <c r="N29" i="36"/>
  <c r="O29" i="36"/>
  <c r="P29" i="36"/>
  <c r="Q29" i="36"/>
  <c r="R29" i="36"/>
  <c r="C28" i="36"/>
  <c r="D28" i="36"/>
  <c r="E28" i="36"/>
  <c r="F28" i="36"/>
  <c r="G28" i="36"/>
  <c r="H28" i="36"/>
  <c r="I28" i="36"/>
  <c r="J28" i="36"/>
  <c r="K28" i="36"/>
  <c r="L28" i="36"/>
  <c r="M28" i="36"/>
  <c r="N28" i="36"/>
  <c r="O28" i="36"/>
  <c r="P28" i="36"/>
  <c r="Q28" i="36"/>
  <c r="R28" i="36"/>
  <c r="C27" i="36"/>
  <c r="D27" i="36"/>
  <c r="E27" i="36"/>
  <c r="F27" i="36"/>
  <c r="G27" i="36"/>
  <c r="H27" i="36"/>
  <c r="I27" i="36"/>
  <c r="J27" i="36"/>
  <c r="K27" i="36"/>
  <c r="L27" i="36"/>
  <c r="M27" i="36"/>
  <c r="N27" i="36"/>
  <c r="O27" i="36"/>
  <c r="P27" i="36"/>
  <c r="Q27" i="36"/>
  <c r="R27" i="36"/>
  <c r="C26" i="36"/>
  <c r="D26" i="36"/>
  <c r="E26" i="36"/>
  <c r="F26" i="36"/>
  <c r="G26" i="36"/>
  <c r="H26" i="36"/>
  <c r="I26" i="36"/>
  <c r="J26" i="36"/>
  <c r="K26" i="36"/>
  <c r="L26" i="36"/>
  <c r="M26" i="36"/>
  <c r="N26" i="36"/>
  <c r="O26" i="36"/>
  <c r="P26" i="36"/>
  <c r="Q26" i="36"/>
  <c r="R26" i="36"/>
  <c r="C15" i="36"/>
  <c r="D15" i="36"/>
  <c r="E15" i="36"/>
  <c r="F15" i="36"/>
  <c r="G15" i="36"/>
  <c r="H15" i="36"/>
  <c r="I15" i="36"/>
  <c r="J15" i="36"/>
  <c r="K15" i="36"/>
  <c r="L15" i="36"/>
  <c r="M15" i="36"/>
  <c r="N15" i="36"/>
  <c r="O15" i="36"/>
  <c r="P15" i="36"/>
  <c r="Q15" i="36"/>
  <c r="R15" i="36"/>
  <c r="C18" i="36"/>
  <c r="C19" i="36"/>
  <c r="C20" i="36"/>
  <c r="D18" i="36"/>
  <c r="D19" i="36"/>
  <c r="D20" i="36"/>
  <c r="E18" i="36"/>
  <c r="E19" i="36"/>
  <c r="E20" i="36"/>
  <c r="F18" i="36"/>
  <c r="F19" i="36"/>
  <c r="F20" i="36"/>
  <c r="G18" i="36"/>
  <c r="G19" i="36"/>
  <c r="G20" i="36"/>
  <c r="H18" i="36"/>
  <c r="H19" i="36"/>
  <c r="H20" i="36"/>
  <c r="I18" i="36"/>
  <c r="I19" i="36"/>
  <c r="I20" i="36"/>
  <c r="J18" i="36"/>
  <c r="J19" i="36"/>
  <c r="J20" i="36"/>
  <c r="K18" i="36"/>
  <c r="K19" i="36"/>
  <c r="K20" i="36"/>
  <c r="L18" i="36"/>
  <c r="L19" i="36"/>
  <c r="L20" i="36"/>
  <c r="M18" i="36"/>
  <c r="M19" i="36"/>
  <c r="M20" i="36"/>
  <c r="N18" i="36"/>
  <c r="N19" i="36"/>
  <c r="N20" i="36"/>
  <c r="O18" i="36"/>
  <c r="O19" i="36"/>
  <c r="O20" i="36"/>
  <c r="P18" i="36"/>
  <c r="P19" i="36"/>
  <c r="P20" i="36"/>
  <c r="Q18" i="36"/>
  <c r="Q19" i="36"/>
  <c r="Q20" i="36"/>
  <c r="R18" i="36"/>
  <c r="R19" i="36"/>
  <c r="R20" i="36"/>
  <c r="C16" i="36"/>
  <c r="D16" i="36"/>
  <c r="E16" i="36"/>
  <c r="F16" i="36"/>
  <c r="G16" i="36"/>
  <c r="H16" i="36"/>
  <c r="I16" i="36"/>
  <c r="J16" i="36"/>
  <c r="K16" i="36"/>
  <c r="L16" i="36"/>
  <c r="M16" i="36"/>
  <c r="N16" i="36"/>
  <c r="O16" i="36"/>
  <c r="P16" i="36"/>
  <c r="Q16" i="36"/>
  <c r="R16" i="36"/>
  <c r="C12" i="36"/>
  <c r="D12" i="36"/>
  <c r="E12" i="36"/>
  <c r="F12" i="36"/>
  <c r="G12" i="36"/>
  <c r="H12" i="36"/>
  <c r="I12" i="36"/>
  <c r="J12" i="36"/>
  <c r="K12" i="36"/>
  <c r="L12" i="36"/>
  <c r="M12" i="36"/>
  <c r="N12" i="36"/>
  <c r="O12" i="36"/>
  <c r="P12" i="36"/>
  <c r="Q12" i="36"/>
  <c r="R12" i="36"/>
  <c r="C9" i="36"/>
  <c r="C11" i="36"/>
  <c r="C13" i="36"/>
  <c r="D9" i="36"/>
  <c r="D11" i="36"/>
  <c r="D13" i="36"/>
  <c r="E9" i="36"/>
  <c r="E11" i="36"/>
  <c r="E13" i="36"/>
  <c r="F9" i="36"/>
  <c r="F11" i="36"/>
  <c r="F13" i="36"/>
  <c r="G9" i="36"/>
  <c r="G11" i="36"/>
  <c r="G13" i="36"/>
  <c r="H9" i="36"/>
  <c r="H11" i="36"/>
  <c r="H13" i="36"/>
  <c r="I9" i="36"/>
  <c r="I11" i="36"/>
  <c r="I13" i="36"/>
  <c r="J9" i="36"/>
  <c r="J11" i="36"/>
  <c r="J13" i="36"/>
  <c r="K9" i="36"/>
  <c r="K11" i="36"/>
  <c r="K13" i="36"/>
  <c r="L9" i="36"/>
  <c r="L11" i="36"/>
  <c r="L13" i="36"/>
  <c r="M9" i="36"/>
  <c r="M11" i="36"/>
  <c r="M13" i="36"/>
  <c r="N9" i="36"/>
  <c r="N11" i="36"/>
  <c r="N13" i="36"/>
  <c r="O9" i="36"/>
  <c r="O11" i="36"/>
  <c r="O13" i="36"/>
  <c r="P9" i="36"/>
  <c r="P11" i="36"/>
  <c r="P13" i="36"/>
  <c r="Q9" i="36"/>
  <c r="Q11" i="36"/>
  <c r="Q13" i="36"/>
  <c r="R9" i="36"/>
  <c r="R11" i="36"/>
  <c r="R13" i="36"/>
  <c r="C8" i="36"/>
  <c r="D8" i="36"/>
  <c r="E8" i="36"/>
  <c r="F8" i="36"/>
  <c r="G8" i="36"/>
  <c r="H8" i="36"/>
  <c r="I8" i="36"/>
  <c r="J8" i="36"/>
  <c r="K8" i="36"/>
  <c r="L8" i="36"/>
  <c r="M8" i="36"/>
  <c r="N8" i="36"/>
  <c r="O8" i="36"/>
  <c r="P8" i="36"/>
  <c r="Q8" i="36"/>
  <c r="R8" i="36"/>
  <c r="S10" i="36" l="1"/>
  <c r="S55" i="36"/>
  <c r="S54" i="36"/>
  <c r="S52" i="36"/>
  <c r="S51" i="36"/>
  <c r="S48" i="36"/>
  <c r="S40" i="36"/>
  <c r="S32" i="36"/>
  <c r="S29" i="36"/>
  <c r="S28" i="36"/>
  <c r="S27" i="36"/>
  <c r="S26" i="36"/>
  <c r="S15" i="36"/>
  <c r="S20" i="36"/>
  <c r="S18" i="36"/>
  <c r="S19" i="36"/>
  <c r="S16" i="36"/>
  <c r="S12" i="36"/>
  <c r="S13" i="36"/>
  <c r="S11" i="36"/>
  <c r="S9" i="36"/>
  <c r="S8" i="36"/>
  <c r="K58" i="36"/>
  <c r="K57" i="36"/>
  <c r="K56" i="36"/>
  <c r="K53" i="36"/>
  <c r="K50" i="36"/>
  <c r="K49" i="36"/>
  <c r="K47" i="36"/>
  <c r="K46" i="36"/>
  <c r="K45" i="36"/>
  <c r="K44" i="36"/>
  <c r="K43" i="36"/>
  <c r="K42" i="36"/>
  <c r="K41" i="36"/>
  <c r="K39" i="36"/>
  <c r="K38" i="36"/>
  <c r="K37" i="36"/>
  <c r="K36" i="36"/>
  <c r="K35" i="36"/>
  <c r="K34" i="36"/>
  <c r="K33" i="36"/>
  <c r="K31" i="36"/>
  <c r="K30" i="36"/>
  <c r="K25" i="36"/>
  <c r="K23" i="36"/>
  <c r="K24" i="36"/>
  <c r="K22" i="36"/>
  <c r="K21" i="36"/>
  <c r="K17" i="36"/>
  <c r="K14" i="36"/>
  <c r="K7" i="36"/>
  <c r="K6" i="36"/>
  <c r="K5" i="36"/>
  <c r="K4" i="36"/>
  <c r="K3" i="36"/>
  <c r="Q11" i="33"/>
  <c r="P11" i="33"/>
  <c r="O11" i="33"/>
  <c r="N11" i="33"/>
  <c r="M11" i="33"/>
  <c r="L11" i="33"/>
  <c r="K11" i="33"/>
  <c r="J11" i="33"/>
  <c r="I11" i="33"/>
  <c r="H11" i="33"/>
  <c r="G11" i="33"/>
  <c r="F11" i="33"/>
  <c r="E11" i="33"/>
  <c r="D11" i="33"/>
  <c r="C11" i="33"/>
  <c r="B11" i="33"/>
  <c r="B7" i="35"/>
  <c r="E11" i="35"/>
  <c r="B11" i="35"/>
  <c r="E10" i="35"/>
  <c r="B10" i="35"/>
  <c r="E9" i="35"/>
  <c r="E8" i="35"/>
  <c r="E7" i="35"/>
  <c r="D6" i="35"/>
  <c r="B6" i="35"/>
  <c r="D5" i="35"/>
  <c r="B5" i="35"/>
  <c r="D4" i="35"/>
  <c r="B4" i="35"/>
  <c r="R58" i="36"/>
  <c r="Q58" i="36"/>
  <c r="P58" i="36"/>
  <c r="O58" i="36"/>
  <c r="N58" i="36"/>
  <c r="M58" i="36"/>
  <c r="L58" i="36"/>
  <c r="J58" i="36"/>
  <c r="I58" i="36"/>
  <c r="H58" i="36"/>
  <c r="G58" i="36"/>
  <c r="F58" i="36"/>
  <c r="E58" i="36"/>
  <c r="D58" i="36"/>
  <c r="C58" i="36"/>
  <c r="R57" i="36"/>
  <c r="Q57" i="36"/>
  <c r="P57" i="36"/>
  <c r="O57" i="36"/>
  <c r="N57" i="36"/>
  <c r="M57" i="36"/>
  <c r="L57" i="36"/>
  <c r="J57" i="36"/>
  <c r="I57" i="36"/>
  <c r="H57" i="36"/>
  <c r="G57" i="36"/>
  <c r="F57" i="36"/>
  <c r="E57" i="36"/>
  <c r="D57" i="36"/>
  <c r="C57" i="36"/>
  <c r="R56" i="36"/>
  <c r="Q56" i="36"/>
  <c r="P56" i="36"/>
  <c r="O56" i="36"/>
  <c r="N56" i="36"/>
  <c r="M56" i="36"/>
  <c r="L56" i="36"/>
  <c r="J56" i="36"/>
  <c r="I56" i="36"/>
  <c r="H56" i="36"/>
  <c r="G56" i="36"/>
  <c r="F56" i="36"/>
  <c r="E56" i="36"/>
  <c r="D56" i="36"/>
  <c r="C56" i="36"/>
  <c r="R53" i="36"/>
  <c r="Q53" i="36"/>
  <c r="P53" i="36"/>
  <c r="O53" i="36"/>
  <c r="N53" i="36"/>
  <c r="M53" i="36"/>
  <c r="L53" i="36"/>
  <c r="J53" i="36"/>
  <c r="I53" i="36"/>
  <c r="H53" i="36"/>
  <c r="G53" i="36"/>
  <c r="F53" i="36"/>
  <c r="E53" i="36"/>
  <c r="D53" i="36"/>
  <c r="C53" i="36"/>
  <c r="R50" i="36"/>
  <c r="Q50" i="36"/>
  <c r="P50" i="36"/>
  <c r="O50" i="36"/>
  <c r="N50" i="36"/>
  <c r="M50" i="36"/>
  <c r="L50" i="36"/>
  <c r="J50" i="36"/>
  <c r="I50" i="36"/>
  <c r="H50" i="36"/>
  <c r="G50" i="36"/>
  <c r="F50" i="36"/>
  <c r="E50" i="36"/>
  <c r="D50" i="36"/>
  <c r="C50" i="36"/>
  <c r="R49" i="36"/>
  <c r="Q49" i="36"/>
  <c r="P49" i="36"/>
  <c r="O49" i="36"/>
  <c r="N49" i="36"/>
  <c r="M49" i="36"/>
  <c r="L49" i="36"/>
  <c r="J49" i="36"/>
  <c r="I49" i="36"/>
  <c r="H49" i="36"/>
  <c r="G49" i="36"/>
  <c r="F49" i="36"/>
  <c r="E49" i="36"/>
  <c r="D49" i="36"/>
  <c r="C49" i="36"/>
  <c r="R47" i="36"/>
  <c r="Q47" i="36"/>
  <c r="P47" i="36"/>
  <c r="O47" i="36"/>
  <c r="N47" i="36"/>
  <c r="M47" i="36"/>
  <c r="L47" i="36"/>
  <c r="J47" i="36"/>
  <c r="I47" i="36"/>
  <c r="H47" i="36"/>
  <c r="G47" i="36"/>
  <c r="F47" i="36"/>
  <c r="E47" i="36"/>
  <c r="D47" i="36"/>
  <c r="C47" i="36"/>
  <c r="R46" i="36"/>
  <c r="Q46" i="36"/>
  <c r="P46" i="36"/>
  <c r="O46" i="36"/>
  <c r="N46" i="36"/>
  <c r="M46" i="36"/>
  <c r="L46" i="36"/>
  <c r="J46" i="36"/>
  <c r="I46" i="36"/>
  <c r="H46" i="36"/>
  <c r="G46" i="36"/>
  <c r="F46" i="36"/>
  <c r="E46" i="36"/>
  <c r="D46" i="36"/>
  <c r="C46" i="36"/>
  <c r="R45" i="36"/>
  <c r="Q45" i="36"/>
  <c r="P45" i="36"/>
  <c r="O45" i="36"/>
  <c r="N45" i="36"/>
  <c r="M45" i="36"/>
  <c r="L45" i="36"/>
  <c r="J45" i="36"/>
  <c r="I45" i="36"/>
  <c r="H45" i="36"/>
  <c r="G45" i="36"/>
  <c r="F45" i="36"/>
  <c r="E45" i="36"/>
  <c r="D45" i="36"/>
  <c r="C45" i="36"/>
  <c r="R44" i="36"/>
  <c r="Q44" i="36"/>
  <c r="P44" i="36"/>
  <c r="O44" i="36"/>
  <c r="N44" i="36"/>
  <c r="M44" i="36"/>
  <c r="L44" i="36"/>
  <c r="J44" i="36"/>
  <c r="I44" i="36"/>
  <c r="H44" i="36"/>
  <c r="G44" i="36"/>
  <c r="F44" i="36"/>
  <c r="E44" i="36"/>
  <c r="D44" i="36"/>
  <c r="C44" i="36"/>
  <c r="R43" i="36"/>
  <c r="Q43" i="36"/>
  <c r="P43" i="36"/>
  <c r="O43" i="36"/>
  <c r="N43" i="36"/>
  <c r="M43" i="36"/>
  <c r="L43" i="36"/>
  <c r="J43" i="36"/>
  <c r="I43" i="36"/>
  <c r="H43" i="36"/>
  <c r="G43" i="36"/>
  <c r="F43" i="36"/>
  <c r="E43" i="36"/>
  <c r="D43" i="36"/>
  <c r="C43" i="36"/>
  <c r="R42" i="36"/>
  <c r="Q42" i="36"/>
  <c r="P42" i="36"/>
  <c r="O42" i="36"/>
  <c r="N42" i="36"/>
  <c r="M42" i="36"/>
  <c r="L42" i="36"/>
  <c r="J42" i="36"/>
  <c r="I42" i="36"/>
  <c r="H42" i="36"/>
  <c r="G42" i="36"/>
  <c r="F42" i="36"/>
  <c r="E42" i="36"/>
  <c r="D42" i="36"/>
  <c r="C42" i="36"/>
  <c r="R41" i="36"/>
  <c r="Q41" i="36"/>
  <c r="P41" i="36"/>
  <c r="O41" i="36"/>
  <c r="N41" i="36"/>
  <c r="M41" i="36"/>
  <c r="L41" i="36"/>
  <c r="J41" i="36"/>
  <c r="I41" i="36"/>
  <c r="H41" i="36"/>
  <c r="G41" i="36"/>
  <c r="F41" i="36"/>
  <c r="E41" i="36"/>
  <c r="D41" i="36"/>
  <c r="C41" i="36"/>
  <c r="R39" i="36"/>
  <c r="Q39" i="36"/>
  <c r="P39" i="36"/>
  <c r="O39" i="36"/>
  <c r="N39" i="36"/>
  <c r="M39" i="36"/>
  <c r="L39" i="36"/>
  <c r="J39" i="36"/>
  <c r="I39" i="36"/>
  <c r="H39" i="36"/>
  <c r="G39" i="36"/>
  <c r="F39" i="36"/>
  <c r="E39" i="36"/>
  <c r="D39" i="36"/>
  <c r="C39" i="36"/>
  <c r="R38" i="36"/>
  <c r="Q38" i="36"/>
  <c r="P38" i="36"/>
  <c r="O38" i="36"/>
  <c r="N38" i="36"/>
  <c r="M38" i="36"/>
  <c r="L38" i="36"/>
  <c r="J38" i="36"/>
  <c r="I38" i="36"/>
  <c r="H38" i="36"/>
  <c r="G38" i="36"/>
  <c r="F38" i="36"/>
  <c r="E38" i="36"/>
  <c r="D38" i="36"/>
  <c r="C38" i="36"/>
  <c r="R37" i="36"/>
  <c r="Q37" i="36"/>
  <c r="P37" i="36"/>
  <c r="O37" i="36"/>
  <c r="N37" i="36"/>
  <c r="M37" i="36"/>
  <c r="L37" i="36"/>
  <c r="J37" i="36"/>
  <c r="I37" i="36"/>
  <c r="H37" i="36"/>
  <c r="G37" i="36"/>
  <c r="F37" i="36"/>
  <c r="E37" i="36"/>
  <c r="D37" i="36"/>
  <c r="C37" i="36"/>
  <c r="R36" i="36"/>
  <c r="Q36" i="36"/>
  <c r="P36" i="36"/>
  <c r="O36" i="36"/>
  <c r="N36" i="36"/>
  <c r="M36" i="36"/>
  <c r="L36" i="36"/>
  <c r="J36" i="36"/>
  <c r="I36" i="36"/>
  <c r="H36" i="36"/>
  <c r="G36" i="36"/>
  <c r="F36" i="36"/>
  <c r="E36" i="36"/>
  <c r="D36" i="36"/>
  <c r="C36" i="36"/>
  <c r="R35" i="36"/>
  <c r="Q35" i="36"/>
  <c r="P35" i="36"/>
  <c r="O35" i="36"/>
  <c r="N35" i="36"/>
  <c r="M35" i="36"/>
  <c r="L35" i="36"/>
  <c r="J35" i="36"/>
  <c r="I35" i="36"/>
  <c r="H35" i="36"/>
  <c r="G35" i="36"/>
  <c r="F35" i="36"/>
  <c r="E35" i="36"/>
  <c r="D35" i="36"/>
  <c r="C35" i="36"/>
  <c r="R34" i="36"/>
  <c r="Q34" i="36"/>
  <c r="P34" i="36"/>
  <c r="O34" i="36"/>
  <c r="N34" i="36"/>
  <c r="M34" i="36"/>
  <c r="L34" i="36"/>
  <c r="J34" i="36"/>
  <c r="I34" i="36"/>
  <c r="H34" i="36"/>
  <c r="G34" i="36"/>
  <c r="F34" i="36"/>
  <c r="E34" i="36"/>
  <c r="D34" i="36"/>
  <c r="C34" i="36"/>
  <c r="R33" i="36"/>
  <c r="Q33" i="36"/>
  <c r="P33" i="36"/>
  <c r="O33" i="36"/>
  <c r="N33" i="36"/>
  <c r="M33" i="36"/>
  <c r="L33" i="36"/>
  <c r="J33" i="36"/>
  <c r="I33" i="36"/>
  <c r="H33" i="36"/>
  <c r="G33" i="36"/>
  <c r="F33" i="36"/>
  <c r="E33" i="36"/>
  <c r="D33" i="36"/>
  <c r="C33" i="36"/>
  <c r="R31" i="36"/>
  <c r="Q31" i="36"/>
  <c r="P31" i="36"/>
  <c r="O31" i="36"/>
  <c r="N31" i="36"/>
  <c r="M31" i="36"/>
  <c r="L31" i="36"/>
  <c r="J31" i="36"/>
  <c r="I31" i="36"/>
  <c r="H31" i="36"/>
  <c r="G31" i="36"/>
  <c r="F31" i="36"/>
  <c r="E31" i="36"/>
  <c r="D31" i="36"/>
  <c r="C31" i="36"/>
  <c r="R30" i="36"/>
  <c r="Q30" i="36"/>
  <c r="P30" i="36"/>
  <c r="O30" i="36"/>
  <c r="N30" i="36"/>
  <c r="M30" i="36"/>
  <c r="L30" i="36"/>
  <c r="J30" i="36"/>
  <c r="I30" i="36"/>
  <c r="H30" i="36"/>
  <c r="G30" i="36"/>
  <c r="F30" i="36"/>
  <c r="E30" i="36"/>
  <c r="D30" i="36"/>
  <c r="C30" i="36"/>
  <c r="R25" i="36"/>
  <c r="Q25" i="36"/>
  <c r="P25" i="36"/>
  <c r="O25" i="36"/>
  <c r="N25" i="36"/>
  <c r="M25" i="36"/>
  <c r="L25" i="36"/>
  <c r="J25" i="36"/>
  <c r="I25" i="36"/>
  <c r="H25" i="36"/>
  <c r="G25" i="36"/>
  <c r="F25" i="36"/>
  <c r="E25" i="36"/>
  <c r="D25" i="36"/>
  <c r="C25" i="36"/>
  <c r="R23" i="36"/>
  <c r="Q23" i="36"/>
  <c r="P23" i="36"/>
  <c r="O23" i="36"/>
  <c r="N23" i="36"/>
  <c r="M23" i="36"/>
  <c r="L23" i="36"/>
  <c r="J23" i="36"/>
  <c r="I23" i="36"/>
  <c r="H23" i="36"/>
  <c r="G23" i="36"/>
  <c r="F23" i="36"/>
  <c r="E23" i="36"/>
  <c r="D23" i="36"/>
  <c r="C23" i="36"/>
  <c r="R24" i="36"/>
  <c r="Q24" i="36"/>
  <c r="P24" i="36"/>
  <c r="O24" i="36"/>
  <c r="N24" i="36"/>
  <c r="M24" i="36"/>
  <c r="L24" i="36"/>
  <c r="J24" i="36"/>
  <c r="I24" i="36"/>
  <c r="H24" i="36"/>
  <c r="G24" i="36"/>
  <c r="F24" i="36"/>
  <c r="E24" i="36"/>
  <c r="D24" i="36"/>
  <c r="C24" i="36"/>
  <c r="R22" i="36"/>
  <c r="Q22" i="36"/>
  <c r="P22" i="36"/>
  <c r="O22" i="36"/>
  <c r="N22" i="36"/>
  <c r="M22" i="36"/>
  <c r="L22" i="36"/>
  <c r="J22" i="36"/>
  <c r="I22" i="36"/>
  <c r="H22" i="36"/>
  <c r="G22" i="36"/>
  <c r="F22" i="36"/>
  <c r="E22" i="36"/>
  <c r="D22" i="36"/>
  <c r="C22" i="36"/>
  <c r="R21" i="36"/>
  <c r="Q21" i="36"/>
  <c r="P21" i="36"/>
  <c r="O21" i="36"/>
  <c r="N21" i="36"/>
  <c r="M21" i="36"/>
  <c r="L21" i="36"/>
  <c r="J21" i="36"/>
  <c r="I21" i="36"/>
  <c r="H21" i="36"/>
  <c r="G21" i="36"/>
  <c r="F21" i="36"/>
  <c r="E21" i="36"/>
  <c r="D21" i="36"/>
  <c r="C21" i="36"/>
  <c r="R17" i="36"/>
  <c r="Q17" i="36"/>
  <c r="P17" i="36"/>
  <c r="O17" i="36"/>
  <c r="N17" i="36"/>
  <c r="M17" i="36"/>
  <c r="L17" i="36"/>
  <c r="J17" i="36"/>
  <c r="I17" i="36"/>
  <c r="H17" i="36"/>
  <c r="G17" i="36"/>
  <c r="F17" i="36"/>
  <c r="E17" i="36"/>
  <c r="D17" i="36"/>
  <c r="C17" i="36"/>
  <c r="R14" i="36"/>
  <c r="Q14" i="36"/>
  <c r="P14" i="36"/>
  <c r="O14" i="36"/>
  <c r="N14" i="36"/>
  <c r="M14" i="36"/>
  <c r="L14" i="36"/>
  <c r="J14" i="36"/>
  <c r="I14" i="36"/>
  <c r="H14" i="36"/>
  <c r="G14" i="36"/>
  <c r="F14" i="36"/>
  <c r="E14" i="36"/>
  <c r="D14" i="36"/>
  <c r="C14" i="36"/>
  <c r="R7" i="36"/>
  <c r="Q7" i="36"/>
  <c r="P7" i="36"/>
  <c r="O7" i="36"/>
  <c r="N7" i="36"/>
  <c r="M7" i="36"/>
  <c r="L7" i="36"/>
  <c r="J7" i="36"/>
  <c r="I7" i="36"/>
  <c r="H7" i="36"/>
  <c r="G7" i="36"/>
  <c r="F7" i="36"/>
  <c r="E7" i="36"/>
  <c r="D7" i="36"/>
  <c r="C7" i="36"/>
  <c r="R6" i="36"/>
  <c r="Q6" i="36"/>
  <c r="P6" i="36"/>
  <c r="O6" i="36"/>
  <c r="N6" i="36"/>
  <c r="M6" i="36"/>
  <c r="L6" i="36"/>
  <c r="J6" i="36"/>
  <c r="I6" i="36"/>
  <c r="H6" i="36"/>
  <c r="G6" i="36"/>
  <c r="F6" i="36"/>
  <c r="E6" i="36"/>
  <c r="D6" i="36"/>
  <c r="C6" i="36"/>
  <c r="R5" i="36"/>
  <c r="Q5" i="36"/>
  <c r="P5" i="36"/>
  <c r="O5" i="36"/>
  <c r="N5" i="36"/>
  <c r="M5" i="36"/>
  <c r="L5" i="36"/>
  <c r="J5" i="36"/>
  <c r="I5" i="36"/>
  <c r="H5" i="36"/>
  <c r="G5" i="36"/>
  <c r="F5" i="36"/>
  <c r="E5" i="36"/>
  <c r="D5" i="36"/>
  <c r="C5" i="36"/>
  <c r="R4" i="36"/>
  <c r="Q4" i="36"/>
  <c r="P4" i="36"/>
  <c r="O4" i="36"/>
  <c r="N4" i="36"/>
  <c r="M4" i="36"/>
  <c r="L4" i="36"/>
  <c r="J4" i="36"/>
  <c r="I4" i="36"/>
  <c r="H4" i="36"/>
  <c r="G4" i="36"/>
  <c r="F4" i="36"/>
  <c r="E4" i="36"/>
  <c r="D4" i="36"/>
  <c r="C4" i="36"/>
  <c r="R3" i="36"/>
  <c r="Q3" i="36"/>
  <c r="P3" i="36"/>
  <c r="O3" i="36"/>
  <c r="N3" i="36"/>
  <c r="M3" i="36"/>
  <c r="L3" i="36"/>
  <c r="J3" i="36"/>
  <c r="I3" i="36"/>
  <c r="H3" i="36"/>
  <c r="G3" i="36"/>
  <c r="F3" i="36"/>
  <c r="E3" i="36"/>
  <c r="D3" i="36"/>
  <c r="C3" i="36"/>
  <c r="Q18" i="33"/>
  <c r="P18" i="33"/>
  <c r="O18" i="33"/>
  <c r="N18" i="33"/>
  <c r="M18" i="33"/>
  <c r="L18" i="33"/>
  <c r="K18" i="33"/>
  <c r="J18" i="33"/>
  <c r="I18" i="33"/>
  <c r="H18" i="33"/>
  <c r="G18" i="33"/>
  <c r="F18" i="33"/>
  <c r="E18" i="33"/>
  <c r="D18" i="33"/>
  <c r="C18" i="33"/>
  <c r="B18" i="33"/>
  <c r="Q17" i="33"/>
  <c r="P17" i="33"/>
  <c r="O17" i="33"/>
  <c r="N17" i="33"/>
  <c r="M17" i="33"/>
  <c r="L17" i="33"/>
  <c r="K17" i="33"/>
  <c r="J17" i="33"/>
  <c r="I17" i="33"/>
  <c r="H17" i="33"/>
  <c r="G17" i="33"/>
  <c r="F17" i="33"/>
  <c r="E17" i="33"/>
  <c r="D17" i="33"/>
  <c r="C17" i="33"/>
  <c r="B17" i="33"/>
  <c r="Q16" i="33"/>
  <c r="P16" i="33"/>
  <c r="O16" i="33"/>
  <c r="N16" i="33"/>
  <c r="M16" i="33"/>
  <c r="L16" i="33"/>
  <c r="K16" i="33"/>
  <c r="J16" i="33"/>
  <c r="I16" i="33"/>
  <c r="H16" i="33"/>
  <c r="G16" i="33"/>
  <c r="F16" i="33"/>
  <c r="E16" i="33"/>
  <c r="D16" i="33"/>
  <c r="C16" i="33"/>
  <c r="B16" i="33"/>
  <c r="Q15" i="33"/>
  <c r="P15" i="33"/>
  <c r="O15" i="33"/>
  <c r="N15" i="33"/>
  <c r="M15" i="33"/>
  <c r="L15" i="33"/>
  <c r="K15" i="33"/>
  <c r="J15" i="33"/>
  <c r="I15" i="33"/>
  <c r="H15" i="33"/>
  <c r="G15" i="33"/>
  <c r="F15" i="33"/>
  <c r="E15" i="33"/>
  <c r="D15" i="33"/>
  <c r="C15" i="33"/>
  <c r="B15" i="33"/>
  <c r="Q14" i="33"/>
  <c r="P14" i="33"/>
  <c r="O14" i="33"/>
  <c r="N14" i="33"/>
  <c r="M14" i="33"/>
  <c r="L14" i="33"/>
  <c r="K14" i="33"/>
  <c r="J14" i="33"/>
  <c r="I14" i="33"/>
  <c r="H14" i="33"/>
  <c r="G14" i="33"/>
  <c r="F14" i="33"/>
  <c r="E14" i="33"/>
  <c r="D14" i="33"/>
  <c r="C14" i="33"/>
  <c r="B14" i="33"/>
  <c r="Q13" i="33"/>
  <c r="P13" i="33"/>
  <c r="O13" i="33"/>
  <c r="N13" i="33"/>
  <c r="M13" i="33"/>
  <c r="L13" i="33"/>
  <c r="K13" i="33"/>
  <c r="J13" i="33"/>
  <c r="I13" i="33"/>
  <c r="H13" i="33"/>
  <c r="G13" i="33"/>
  <c r="F13" i="33"/>
  <c r="E13" i="33"/>
  <c r="D13" i="33"/>
  <c r="C13" i="33"/>
  <c r="B13" i="33"/>
  <c r="Q12" i="33"/>
  <c r="P12" i="33"/>
  <c r="O12" i="33"/>
  <c r="N12" i="33"/>
  <c r="M12" i="33"/>
  <c r="L12" i="33"/>
  <c r="K12" i="33"/>
  <c r="J12" i="33"/>
  <c r="I12" i="33"/>
  <c r="H12" i="33"/>
  <c r="G12" i="33"/>
  <c r="F12" i="33"/>
  <c r="E12" i="33"/>
  <c r="D12" i="33"/>
  <c r="C12" i="33"/>
  <c r="B12" i="33"/>
  <c r="Q10" i="33"/>
  <c r="P10" i="33"/>
  <c r="O10" i="33"/>
  <c r="N10" i="33"/>
  <c r="M10" i="33"/>
  <c r="L10" i="33"/>
  <c r="K10" i="33"/>
  <c r="J10" i="33"/>
  <c r="I10" i="33"/>
  <c r="H10" i="33"/>
  <c r="G10" i="33"/>
  <c r="F10" i="33"/>
  <c r="E10" i="33"/>
  <c r="D10" i="33"/>
  <c r="C10" i="33"/>
  <c r="B10" i="33"/>
  <c r="Q9" i="33"/>
  <c r="P9" i="33"/>
  <c r="O9" i="33"/>
  <c r="N9" i="33"/>
  <c r="M9" i="33"/>
  <c r="L9" i="33"/>
  <c r="K9" i="33"/>
  <c r="J9" i="33"/>
  <c r="I9" i="33"/>
  <c r="H9" i="33"/>
  <c r="G9" i="33"/>
  <c r="F9" i="33"/>
  <c r="E9" i="33"/>
  <c r="D9" i="33"/>
  <c r="C9" i="33"/>
  <c r="B9" i="33"/>
  <c r="Q8" i="33"/>
  <c r="P8" i="33"/>
  <c r="O8" i="33"/>
  <c r="N8" i="33"/>
  <c r="M8" i="33"/>
  <c r="L8" i="33"/>
  <c r="K8" i="33"/>
  <c r="J8" i="33"/>
  <c r="I8" i="33"/>
  <c r="H8" i="33"/>
  <c r="G8" i="33"/>
  <c r="F8" i="33"/>
  <c r="E8" i="33"/>
  <c r="D8" i="33"/>
  <c r="C8" i="33"/>
  <c r="B8" i="33"/>
  <c r="Q7" i="33"/>
  <c r="P7" i="33"/>
  <c r="O7" i="33"/>
  <c r="N7" i="33"/>
  <c r="M7" i="33"/>
  <c r="L7" i="33"/>
  <c r="K7" i="33"/>
  <c r="J7" i="33"/>
  <c r="I7" i="33"/>
  <c r="H7" i="33"/>
  <c r="G7" i="33"/>
  <c r="F7" i="33"/>
  <c r="E7" i="33"/>
  <c r="D7" i="33"/>
  <c r="C7" i="33"/>
  <c r="B7" i="33"/>
  <c r="Q6" i="33"/>
  <c r="P6" i="33"/>
  <c r="O6" i="33"/>
  <c r="N6" i="33"/>
  <c r="M6" i="33"/>
  <c r="L6" i="33"/>
  <c r="K6" i="33"/>
  <c r="J6" i="33"/>
  <c r="I6" i="33"/>
  <c r="H6" i="33"/>
  <c r="G6" i="33"/>
  <c r="F6" i="33"/>
  <c r="E6" i="33"/>
  <c r="D6" i="33"/>
  <c r="C6" i="33"/>
  <c r="B6" i="33"/>
  <c r="Q5" i="33"/>
  <c r="P5" i="33"/>
  <c r="O5" i="33"/>
  <c r="N5" i="33"/>
  <c r="M5" i="33"/>
  <c r="L5" i="33"/>
  <c r="K5" i="33"/>
  <c r="J5" i="33"/>
  <c r="I5" i="33"/>
  <c r="H5" i="33"/>
  <c r="G5" i="33"/>
  <c r="F5" i="33"/>
  <c r="E5" i="33"/>
  <c r="D5" i="33"/>
  <c r="C5" i="33"/>
  <c r="B5" i="33"/>
  <c r="Q4" i="33"/>
  <c r="P4" i="33"/>
  <c r="O4" i="33"/>
  <c r="N4" i="33"/>
  <c r="M4" i="33"/>
  <c r="L4" i="33"/>
  <c r="K4" i="33"/>
  <c r="J4" i="33"/>
  <c r="I4" i="33"/>
  <c r="H4" i="33"/>
  <c r="G4" i="33"/>
  <c r="F4" i="33"/>
  <c r="E4" i="33"/>
  <c r="D4" i="33"/>
  <c r="C4" i="33"/>
  <c r="B4" i="33"/>
  <c r="Q3" i="33"/>
  <c r="P3" i="33"/>
  <c r="O3" i="33"/>
  <c r="N3" i="33"/>
  <c r="M3" i="33"/>
  <c r="L3" i="33"/>
  <c r="K3" i="33"/>
  <c r="J3" i="33"/>
  <c r="I3" i="33"/>
  <c r="H3" i="33"/>
  <c r="G3" i="33"/>
  <c r="F3" i="33"/>
  <c r="E3" i="33"/>
  <c r="D3" i="33"/>
  <c r="C3" i="33"/>
  <c r="B3" i="33"/>
  <c r="I59" i="36" l="1"/>
  <c r="S50" i="36"/>
  <c r="R9" i="33"/>
  <c r="G59" i="36"/>
  <c r="S4" i="36" l="1"/>
  <c r="S3" i="36"/>
  <c r="B12" i="35" l="1"/>
  <c r="C11" i="35" s="1"/>
  <c r="E12" i="35"/>
  <c r="F11" i="35" s="1"/>
  <c r="P59" i="36"/>
  <c r="R59" i="36"/>
  <c r="Q59" i="36"/>
  <c r="L59" i="36"/>
  <c r="H59" i="36"/>
  <c r="M59" i="36"/>
  <c r="J59" i="36"/>
  <c r="K59" i="36"/>
  <c r="O59" i="36"/>
  <c r="D59" i="36"/>
  <c r="C59" i="36"/>
  <c r="E59" i="36"/>
  <c r="N59" i="36"/>
  <c r="F59" i="36"/>
  <c r="S37" i="36"/>
  <c r="S46" i="36"/>
  <c r="S24" i="36"/>
  <c r="S44" i="36"/>
  <c r="S59" i="36" l="1"/>
  <c r="S14" i="36"/>
  <c r="S21" i="36"/>
  <c r="R10" i="33"/>
  <c r="R8" i="33"/>
  <c r="R7" i="33"/>
  <c r="S23" i="36"/>
  <c r="S53" i="36"/>
  <c r="S57" i="36"/>
  <c r="D12" i="35"/>
  <c r="F10" i="35"/>
  <c r="T55" i="36" l="1"/>
  <c r="T10" i="36"/>
  <c r="T52" i="36"/>
  <c r="T54" i="36"/>
  <c r="T48" i="36"/>
  <c r="T51" i="36"/>
  <c r="T32" i="36"/>
  <c r="T40" i="36"/>
  <c r="T28" i="36"/>
  <c r="T29" i="36"/>
  <c r="T26" i="36"/>
  <c r="T27" i="36"/>
  <c r="T15" i="36"/>
  <c r="T20" i="36"/>
  <c r="T19" i="36"/>
  <c r="T18" i="36"/>
  <c r="T12" i="36"/>
  <c r="T16" i="36"/>
  <c r="T13" i="36"/>
  <c r="T9" i="36"/>
  <c r="T11" i="36"/>
  <c r="T50" i="36"/>
  <c r="T8" i="36"/>
  <c r="T57" i="36"/>
  <c r="T53" i="36"/>
  <c r="T14" i="36"/>
  <c r="T3" i="36"/>
  <c r="T4" i="36"/>
  <c r="T37" i="36"/>
  <c r="T23" i="36"/>
  <c r="T44" i="36"/>
  <c r="T46" i="36"/>
  <c r="T24" i="36"/>
  <c r="T21" i="36"/>
  <c r="F7" i="35"/>
  <c r="F9" i="35"/>
  <c r="F8" i="35"/>
  <c r="C5" i="35"/>
  <c r="D13" i="35" l="1"/>
  <c r="C4" i="35"/>
  <c r="C7" i="35"/>
  <c r="C10" i="35"/>
  <c r="E13" i="35"/>
  <c r="C6" i="35"/>
  <c r="C8" i="35"/>
  <c r="C9" i="35"/>
  <c r="C12" i="35" l="1"/>
  <c r="S58" i="36"/>
  <c r="T58" i="36" s="1"/>
  <c r="S5" i="36"/>
  <c r="T5" i="36" s="1"/>
  <c r="S22" i="36"/>
  <c r="T22" i="36" s="1"/>
  <c r="S25" i="36"/>
  <c r="T25" i="36" s="1"/>
  <c r="S30" i="36"/>
  <c r="T30" i="36" s="1"/>
  <c r="S31" i="36"/>
  <c r="T31" i="36" s="1"/>
  <c r="S33" i="36"/>
  <c r="T33" i="36" s="1"/>
  <c r="S34" i="36"/>
  <c r="T34" i="36" s="1"/>
  <c r="S35" i="36"/>
  <c r="T35" i="36" s="1"/>
  <c r="S36" i="36"/>
  <c r="T36" i="36" s="1"/>
  <c r="S38" i="36"/>
  <c r="T38" i="36" s="1"/>
  <c r="S39" i="36"/>
  <c r="T39" i="36" s="1"/>
  <c r="S41" i="36"/>
  <c r="T41" i="36" s="1"/>
  <c r="S42" i="36"/>
  <c r="T42" i="36" s="1"/>
  <c r="S43" i="36"/>
  <c r="T43" i="36" s="1"/>
  <c r="S45" i="36"/>
  <c r="T45" i="36" s="1"/>
  <c r="S47" i="36"/>
  <c r="T47" i="36" s="1"/>
  <c r="S49" i="36"/>
  <c r="T49" i="36" s="1"/>
  <c r="S56" i="36"/>
  <c r="T56" i="36" s="1"/>
  <c r="S7" i="36"/>
  <c r="T7" i="36" s="1"/>
  <c r="S17" i="36"/>
  <c r="T17" i="36" s="1"/>
  <c r="S6" i="36"/>
  <c r="T6" i="36" s="1"/>
  <c r="T59" i="36" l="1"/>
  <c r="F19" i="33"/>
  <c r="Q19" i="33"/>
  <c r="P19" i="33"/>
  <c r="O19" i="33"/>
  <c r="N19" i="33"/>
  <c r="M19" i="33"/>
  <c r="L19" i="33"/>
  <c r="J19" i="33"/>
  <c r="I19" i="33"/>
  <c r="H19" i="33"/>
  <c r="G19" i="33"/>
  <c r="D19" i="33"/>
  <c r="R16" i="33"/>
  <c r="R13" i="33" l="1"/>
  <c r="R3" i="33"/>
  <c r="R15" i="33"/>
  <c r="R17" i="33"/>
  <c r="R12" i="33"/>
  <c r="R5" i="33"/>
  <c r="R6" i="33"/>
  <c r="R14" i="33"/>
  <c r="R4" i="33"/>
  <c r="R11" i="33"/>
  <c r="R18" i="33"/>
  <c r="B19" i="33"/>
  <c r="E19" i="33"/>
  <c r="C19" i="33"/>
  <c r="K19" i="33"/>
  <c r="R19" i="33" l="1"/>
</calcChain>
</file>

<file path=xl/sharedStrings.xml><?xml version="1.0" encoding="utf-8"?>
<sst xmlns="http://schemas.openxmlformats.org/spreadsheetml/2006/main" count="2418" uniqueCount="894">
  <si>
    <r>
      <t xml:space="preserve">Download the most recent Forecast at: </t>
    </r>
    <r>
      <rPr>
        <b/>
        <u/>
        <sz val="11"/>
        <color rgb="FF1318F5"/>
        <rFont val="Times New Roman"/>
        <family val="1"/>
      </rPr>
      <t xml:space="preserve">www.hud.gov/program offices/sdb/4cast </t>
    </r>
  </si>
  <si>
    <r>
      <rPr>
        <b/>
        <sz val="18"/>
        <rFont val="Times New Roman"/>
        <family val="1"/>
      </rPr>
      <t>U.S. DEPARTMENT OF HOUSING &amp; URBAN DEVELOPMENT</t>
    </r>
  </si>
  <si>
    <r>
      <rPr>
        <b/>
        <sz val="18"/>
        <rFont val="Times New Roman"/>
        <family val="1"/>
      </rPr>
      <t>FORECAST OF CONTRACTING OPPORTUNITIES</t>
    </r>
    <r>
      <rPr>
        <b/>
        <sz val="18"/>
        <color rgb="FF000000"/>
        <rFont val="Times New Roman"/>
        <family val="1"/>
      </rPr>
      <t xml:space="preserve"> PRODUCTS AND SERVICES</t>
    </r>
  </si>
  <si>
    <r>
      <rPr>
        <sz val="12"/>
        <rFont val="Times New Roman"/>
        <family val="1"/>
      </rPr>
      <t>THE OFFICE OF SMALL AND DISADVANTAGED BUSINESS UTILIZATION (OSDBU)</t>
    </r>
  </si>
  <si>
    <t>www.hud.gov/smallbusiness</t>
  </si>
  <si>
    <r>
      <rPr>
        <b/>
        <sz val="10"/>
        <color rgb="FF000000"/>
        <rFont val="Times New Roman"/>
        <family val="1"/>
      </rPr>
      <t>Disclaimer:</t>
    </r>
    <r>
      <rPr>
        <sz val="10"/>
        <color rgb="FF000000"/>
        <rFont val="Times New Roman"/>
        <family val="1"/>
      </rPr>
      <t xml:space="preserve"> Title V of Public Law 100-656 requires that Federal agencies make available its Procurement Forecast to the Small Business Administration (SBA) - </t>
    </r>
    <r>
      <rPr>
        <u/>
        <sz val="10"/>
        <color rgb="FF1318F5"/>
        <rFont val="Times New Roman"/>
        <family val="1"/>
      </rPr>
      <t xml:space="preserve">www.sba.gov </t>
    </r>
    <r>
      <rPr>
        <sz val="10"/>
        <color rgb="FF000000"/>
        <rFont val="Times New Roman"/>
        <family val="1"/>
      </rPr>
      <t xml:space="preserve">- and to interested business owners. All projected procurements in the Forecast are subject to total or partial revision and/or cancellation. Final decisions on the extent of competition (if any), type of small business participation (if any), estimated value, or any aspect of the procurement action will not be made until each procurement action is initiated and a final determination is made by the assigned contracting officer. The Forecast, and any data contained therein, is for planning purposes, does not represent a pre-solicitation synopsis, does not constitute an invitation for bid or request for proposal, and is not a commitment by the Government to purchase the desired products and/or services. Actual solicitation notices, if required, will be posted on </t>
    </r>
    <r>
      <rPr>
        <u/>
        <sz val="10"/>
        <color rgb="FF1318F5"/>
        <rFont val="Times New Roman"/>
        <family val="1"/>
      </rPr>
      <t>www.sam.gov</t>
    </r>
    <r>
      <rPr>
        <sz val="10"/>
        <color rgb="FF000000"/>
        <rFont val="Times New Roman"/>
        <family val="1"/>
      </rPr>
      <t xml:space="preserve"> as prescribed by the Federal Acquisition Regulation (FAR) - </t>
    </r>
    <r>
      <rPr>
        <u/>
        <sz val="10"/>
        <color rgb="FF1318F5"/>
        <rFont val="Times New Roman"/>
        <family val="1"/>
      </rPr>
      <t>www.acquisition.gov/far</t>
    </r>
    <r>
      <rPr>
        <sz val="10"/>
        <color rgb="FF000000"/>
        <rFont val="Times New Roman"/>
        <family val="1"/>
      </rPr>
      <t xml:space="preserve">. </t>
    </r>
  </si>
  <si>
    <r>
      <t xml:space="preserve">
Public Law 100-656 requires The United States Department of Housing and Urban Development (“the Department”) to publish an annual Forecast of Contracting Opportunities (“Procurement Forecast” or “Forecast”).  The Law emphasizes advance acquisition planning, which provides all of our customers with a better understanding of our requirements.
It is Departmental policy that all legally qualified small businesses receive a just, fair, equitable and impartial share of the contracts awarded by the Department.  The Forecast is one of several tools that will help the small business community effectively market their goods and services to the cognizant components within the Department.  In so doing, it will help realize this goal of our procurement policy.
The Forecast includes projections of all anticipated contract actions above the simplified acquisition threshold.  </t>
    </r>
    <r>
      <rPr>
        <u/>
        <sz val="12"/>
        <color rgb="FF000000"/>
        <rFont val="Times New Roman"/>
        <family val="1"/>
      </rPr>
      <t>It is important to emphasize that the Department is not bound by any statements made in the Forecast.</t>
    </r>
    <r>
      <rPr>
        <sz val="12"/>
        <color rgb="FF000000"/>
        <rFont val="Times New Roman"/>
        <family val="1"/>
      </rPr>
      <t xml:space="preserve">  The Forecast is for informational and marketing purposes only.  It does not constitute a specific offer of commitment by the Department to fund, in whole or in part, the opportunities referenced therein.  Any listing in the Forecast is not all-inclusive and as additional information is obtained, it will be posted, if required.  Please see the Disclaimer below for further information on the nature of the Forecast, including its limitations. Generally, for more information on HUD open market procurement opportunities above $25,000 check sam.gov.
</t>
    </r>
    <r>
      <rPr>
        <b/>
        <sz val="12"/>
        <color rgb="FF000000"/>
        <rFont val="Times New Roman"/>
        <family val="1"/>
      </rPr>
      <t xml:space="preserve">Disclaimer: </t>
    </r>
    <r>
      <rPr>
        <sz val="12"/>
        <color rgb="FF000000"/>
        <rFont val="Times New Roman"/>
        <family val="1"/>
      </rPr>
      <t xml:space="preserve">Title V of Public Law 100-656 requires that Federal agencies make available its Procurement Forecast to the Small Business Administration (SBA) - </t>
    </r>
    <r>
      <rPr>
        <u/>
        <sz val="12"/>
        <color rgb="FF1318F5"/>
        <rFont val="Times New Roman"/>
        <family val="1"/>
      </rPr>
      <t>www.sba.gov</t>
    </r>
    <r>
      <rPr>
        <sz val="12"/>
        <color rgb="FF000000"/>
        <rFont val="Times New Roman"/>
        <family val="1"/>
      </rPr>
      <t xml:space="preserve"> - and to interested business owners. All projected procurements in the Forecast are subject to total or partial revision and/or cancellation. Final decisions on the extent of competition (if any), type of small business participation (if any), estimated value, or any aspect of the procurement action will not be made until each procurement action is initiated and a final determination is made by the assigned contracting officer. The Forecast, and any data contained therein, is for planning purposes, does not represent a pre-solicitation synopsis, does not constitute an invitation for bid or request for proposal, and is not a commitment by the Government to purchase the desired products and/or services. Actual solicitation notices, if required, will be posted on </t>
    </r>
    <r>
      <rPr>
        <u/>
        <sz val="12"/>
        <color rgb="FF1318F5"/>
        <rFont val="Times New Roman"/>
        <family val="1"/>
      </rPr>
      <t>www.sam.gov</t>
    </r>
    <r>
      <rPr>
        <sz val="12"/>
        <color rgb="FF000000"/>
        <rFont val="Times New Roman"/>
        <family val="1"/>
      </rPr>
      <t xml:space="preserve"> as prescribed by the Federal Acquisition Regulation (FAR) - </t>
    </r>
    <r>
      <rPr>
        <u/>
        <sz val="12"/>
        <color rgb="FF1318F5"/>
        <rFont val="Times New Roman"/>
        <family val="1"/>
      </rPr>
      <t>www.acquisition.gov/far</t>
    </r>
    <r>
      <rPr>
        <sz val="12"/>
        <color rgb="FF000000"/>
        <rFont val="Times New Roman"/>
        <family val="1"/>
      </rPr>
      <t xml:space="preserve">. </t>
    </r>
  </si>
  <si>
    <t>TABLE OF CONTENTS</t>
  </si>
  <si>
    <t>SECTION I</t>
  </si>
  <si>
    <t>Introduction, Message to Small Businesses &amp; OSDBU Mission Statement</t>
  </si>
  <si>
    <t>iv</t>
  </si>
  <si>
    <t>OSDBU Staff &amp; Filed Office Small Business Liasions</t>
  </si>
  <si>
    <t>v</t>
  </si>
  <si>
    <t>SECTION II</t>
  </si>
  <si>
    <t>How to Market to HUD</t>
  </si>
  <si>
    <t>vi-vii</t>
  </si>
  <si>
    <t>SECTION III</t>
  </si>
  <si>
    <t>Forecast Overview</t>
  </si>
  <si>
    <t>viii</t>
  </si>
  <si>
    <t>SECTION IV</t>
  </si>
  <si>
    <t>Description of Forecast Categories</t>
  </si>
  <si>
    <t>ix</t>
  </si>
  <si>
    <t>SECTION V</t>
  </si>
  <si>
    <t>Glossary of Terms and Acronyms</t>
  </si>
  <si>
    <t>x</t>
  </si>
  <si>
    <t>SECTION VI</t>
  </si>
  <si>
    <t>Products and Services</t>
  </si>
  <si>
    <t>ACQUISITION BY DOLLAR THRESHOLD</t>
  </si>
  <si>
    <t>Acquisition by dollar threshold</t>
  </si>
  <si>
    <t>ACQUISITION BY NAICS CODE</t>
  </si>
  <si>
    <t>Acquisition by NAICS code</t>
  </si>
  <si>
    <t>ACQUISITION BY PROPOSED TYPE OF ACTION</t>
  </si>
  <si>
    <t>Acquisition by proposed type of action</t>
  </si>
  <si>
    <t>SECTION  I: INTRODUCTION, MESSAGE TO SMALL BUSINESSES &amp; MISSION STATEMENT</t>
  </si>
  <si>
    <r>
      <rPr>
        <b/>
        <sz val="16"/>
        <rFont val="Times New Roman"/>
        <family val="1"/>
      </rPr>
      <t>SECTION I: OSDBU STAFF &amp; FIELD OFFICE SMALL BUSINESS LIAISON</t>
    </r>
  </si>
  <si>
    <r>
      <rPr>
        <sz val="12"/>
        <rFont val="Times New Roman"/>
        <family val="1"/>
      </rPr>
      <t xml:space="preserve">
Firms that are interested in doing business with HUD or need assistance in understanding procurement policies and procedures may contact the following </t>
    </r>
    <r>
      <rPr>
        <sz val="12"/>
        <color rgb="FF000000"/>
        <rFont val="Times New Roman"/>
        <family val="1"/>
      </rPr>
      <t>individuals:</t>
    </r>
  </si>
  <si>
    <r>
      <rPr>
        <b/>
        <sz val="12"/>
        <rFont val="Times New Roman"/>
        <family val="1"/>
      </rPr>
      <t>Office of Small &amp; Disadvantaged Business Utilization (HUD Headquarters)</t>
    </r>
  </si>
  <si>
    <r>
      <rPr>
        <sz val="12"/>
        <rFont val="Times New Roman"/>
        <family val="1"/>
      </rPr>
      <t>Phone: (202) 402-5477</t>
    </r>
  </si>
  <si>
    <r>
      <rPr>
        <sz val="12"/>
        <rFont val="Times New Roman"/>
        <family val="1"/>
      </rPr>
      <t>Fax: (202) 402-6930</t>
    </r>
  </si>
  <si>
    <t xml:space="preserve">Meishoma Hayes  </t>
  </si>
  <si>
    <r>
      <rPr>
        <u/>
        <sz val="12"/>
        <color rgb="FF0000FF"/>
        <rFont val="Times New Roman"/>
        <family val="1"/>
      </rPr>
      <t>Jean.Lin.Pao@hud.gov</t>
    </r>
  </si>
  <si>
    <t xml:space="preserve">Meishoma.A.Hayes@hud.gov </t>
  </si>
  <si>
    <t xml:space="preserve">(202) 402-6792  </t>
  </si>
  <si>
    <t>Derek L. Pruitt</t>
  </si>
  <si>
    <t>Doan Ly Nguyen</t>
  </si>
  <si>
    <t xml:space="preserve">Derek.L.Pruitt@hud.gov </t>
  </si>
  <si>
    <t>Doan.H.LyNguyen@hud.gov</t>
  </si>
  <si>
    <t>Small Business Utilization Specialist</t>
  </si>
  <si>
    <t>(202) 402-3467</t>
  </si>
  <si>
    <t>(202) 402-6018</t>
  </si>
  <si>
    <r>
      <rPr>
        <b/>
        <sz val="12"/>
        <rFont val="Times New Roman"/>
        <family val="1"/>
      </rPr>
      <t>Small Business Liaisons</t>
    </r>
  </si>
  <si>
    <r>
      <rPr>
        <sz val="12"/>
        <rFont val="Times New Roman"/>
        <family val="1"/>
      </rPr>
      <t>(Headquarters &amp; Field Offices)</t>
    </r>
  </si>
  <si>
    <r>
      <rPr>
        <b/>
        <sz val="12"/>
        <rFont val="Times New Roman"/>
        <family val="1"/>
      </rPr>
      <t xml:space="preserve">Nicole H. Jackson </t>
    </r>
  </si>
  <si>
    <t>Gary Staffieri</t>
  </si>
  <si>
    <r>
      <rPr>
        <u/>
        <sz val="12"/>
        <color rgb="FF0000FF"/>
        <rFont val="Times New Roman"/>
        <family val="1"/>
      </rPr>
      <t>Nicole.H.Jackson@hud.gov</t>
    </r>
    <r>
      <rPr>
        <sz val="12"/>
        <rFont val="Times New Roman"/>
        <family val="1"/>
      </rPr>
      <t xml:space="preserve"> </t>
    </r>
  </si>
  <si>
    <t>Gary.F.Staffieri@hud.gov</t>
  </si>
  <si>
    <r>
      <rPr>
        <sz val="12"/>
        <rFont val="Times New Roman"/>
        <family val="1"/>
      </rPr>
      <t xml:space="preserve">Headquarters Contracting Operations </t>
    </r>
  </si>
  <si>
    <r>
      <rPr>
        <sz val="12"/>
        <rFont val="Times New Roman"/>
        <family val="1"/>
      </rPr>
      <t xml:space="preserve">Northern Field Contracting Operations </t>
    </r>
  </si>
  <si>
    <r>
      <rPr>
        <sz val="12"/>
        <rFont val="Times New Roman"/>
        <family val="1"/>
      </rPr>
      <t>(202) 402-3868</t>
    </r>
  </si>
  <si>
    <t>(215) 430-6794</t>
  </si>
  <si>
    <r>
      <rPr>
        <b/>
        <sz val="12"/>
        <rFont val="Times New Roman"/>
        <family val="1"/>
      </rPr>
      <t>Adrian Blackman</t>
    </r>
  </si>
  <si>
    <t>Adrian.C.Blackman@hud.gov</t>
  </si>
  <si>
    <r>
      <rPr>
        <sz val="12"/>
        <rFont val="Times New Roman"/>
        <family val="1"/>
      </rPr>
      <t xml:space="preserve">Southern Field Contracting Operations </t>
    </r>
  </si>
  <si>
    <r>
      <rPr>
        <sz val="12"/>
        <rFont val="Times New Roman"/>
        <family val="1"/>
      </rPr>
      <t xml:space="preserve">Western Field Contracting Operations </t>
    </r>
  </si>
  <si>
    <r>
      <rPr>
        <sz val="12"/>
        <rFont val="Times New Roman"/>
        <family val="1"/>
      </rPr>
      <t>(303) 672-5482</t>
    </r>
  </si>
  <si>
    <r>
      <rPr>
        <sz val="12"/>
        <rFont val="Times New Roman"/>
        <family val="1"/>
      </rPr>
      <t>Hearing or speech impaired individuals may access the telephone numbers in this document via TTY by calling the toll-free Federal Information Relay Service at</t>
    </r>
    <r>
      <rPr>
        <sz val="12"/>
        <color rgb="FF000000"/>
        <rFont val="Times New Roman"/>
        <family val="1"/>
      </rPr>
      <t xml:space="preserve"> (800) 877-8339.</t>
    </r>
  </si>
  <si>
    <t>SECTION III: FORECAST OVERVIEW</t>
  </si>
  <si>
    <t xml:space="preserve">
The Forecast includes proposed contracting opportunities from both HUD Headquarters and field offices. The Forecast is updated on a monthly basis. Effective November 12th, 2019, Federal Business Opportunities (FBO.gov) is retired and www.SAM.gov is now the authoritative source for Contracting Opportunities. Vendors may subscribe to this website, free of charge, to receive notifications of daily contracting postings from federal agencies.
HUD contracting opportunities are procured by the following four principal contracting offices: (1) Office of the Chief Procurement Officer (OCPO) at HUD Headquarters in Washington, DC; and the three field contracting operations (FCO) offices located in (2) Philadelphia, PA; (3) Atlanta, GA; and (4) Denver, CO. The OCPO in Washington, DC contracts for services (e.g., technical assistance, research, and other professional/technical services) and supplies to support HUD program offices and the mission and operations of the Department in general (e.g., information technology, building maintenance, business process re-engineering). The FCO offices contract primarily for services to support the field program operations of the Department’s Office of Housing and its four Homeownership Centers (Philadelphia, Atlanta, Denver, and Santa Ana). Each FCO office has branches, some of which are located in other cities within their jurisdictions. Contracting opportunities for the Department vary by location and by year based on program needs. The absence of a specific contracting need for a particular area in this forecast does not mean that the need will not arise later in the year or in future years.
The Forecast includes various services and acquisition strategies such as simplified acquisitions (contracts valued between $10,000 and $250,000), full and open competitions (contracts valued over $250,000) and limited competitions against the General Services Administration Federal Supply Schedules in various forms of acquisitions strategies ranging from “total small business set-aside” to “full and open.” The Department also encourages 8(a) firms that have dual status to compete for HUD contracting opportunities (i.e., an 8(a) firm certified as a HUBZone and/or is a woman-owned or veteran-owned firm). </t>
  </si>
  <si>
    <t>SECTION II: HOW TO MARKET TO HUD</t>
  </si>
  <si>
    <t>●</t>
  </si>
  <si>
    <r>
      <rPr>
        <b/>
        <sz val="12"/>
        <rFont val="Times New Roman"/>
        <family val="1"/>
      </rPr>
      <t xml:space="preserve">Know your market niche. </t>
    </r>
    <r>
      <rPr>
        <sz val="12"/>
        <rFont val="Times New Roman"/>
        <family val="1"/>
      </rPr>
      <t>Focus on products and services that reflect your niche. Concentrate on what you do best.</t>
    </r>
  </si>
  <si>
    <r>
      <rPr>
        <b/>
        <sz val="12"/>
        <rFont val="Times New Roman"/>
        <family val="1"/>
      </rPr>
      <t xml:space="preserve">Provide high quality products and/or services. </t>
    </r>
    <r>
      <rPr>
        <sz val="12"/>
        <rFont val="Times New Roman"/>
        <family val="1"/>
      </rPr>
      <t xml:space="preserve">HUD is looking for </t>
    </r>
    <r>
      <rPr>
        <u/>
        <sz val="12"/>
        <rFont val="Times New Roman"/>
        <family val="1"/>
      </rPr>
      <t>established companies with a proven track record</t>
    </r>
    <r>
      <rPr>
        <sz val="12"/>
        <rFont val="Times New Roman"/>
        <family val="1"/>
      </rPr>
      <t xml:space="preserve"> of success in providing the types of products and services we need. Be able to demonstrate that you can do the job in a timely, professional and cost-effective manner.</t>
    </r>
  </si>
  <si>
    <r>
      <rPr>
        <b/>
        <sz val="12"/>
        <rFont val="Times New Roman"/>
        <family val="1"/>
      </rPr>
      <t xml:space="preserve">Read the Federal Acquisition Regulations (FAR). </t>
    </r>
    <r>
      <rPr>
        <sz val="12"/>
        <rFont val="Times New Roman"/>
        <family val="1"/>
      </rPr>
      <t>The FAR is the primary regulation that all federal government agencies follow when they purchase products and services. Read the Housing and Urban Development Acquisition Regulation (HUDAR), which is HUD’s supplement to the FAR that contains HUD policies and procedures.</t>
    </r>
  </si>
  <si>
    <r>
      <rPr>
        <b/>
        <sz val="12"/>
        <color rgb="FF000000"/>
        <rFont val="Times New Roman"/>
        <family val="1"/>
      </rPr>
      <t xml:space="preserve">Register your company in the System for Award Management (SAM) database located at </t>
    </r>
    <r>
      <rPr>
        <b/>
        <u/>
        <sz val="12"/>
        <color rgb="FF1318F5"/>
        <rFont val="Times New Roman"/>
        <family val="1"/>
      </rPr>
      <t>www.sam.gov</t>
    </r>
    <r>
      <rPr>
        <b/>
        <sz val="12"/>
        <color rgb="FF000000"/>
        <rFont val="Times New Roman"/>
        <family val="1"/>
      </rPr>
      <t>.</t>
    </r>
    <r>
      <rPr>
        <sz val="12"/>
        <color rgb="FF000000"/>
        <rFont val="Times New Roman"/>
        <family val="1"/>
      </rPr>
      <t xml:space="preserve"> All current and potential government vendors are required to register in this database in order to be eligible for contract awards and payments. HUD contracting officers and program office staff conduct market research and verify a company’s SBA certifications through this database.</t>
    </r>
  </si>
  <si>
    <r>
      <rPr>
        <b/>
        <sz val="12"/>
        <rFont val="Times New Roman"/>
        <family val="1"/>
      </rPr>
      <t xml:space="preserve">Apply to get on a General Services Administration (GSA) Schedule </t>
    </r>
    <r>
      <rPr>
        <sz val="12"/>
        <rFont val="Times New Roman"/>
        <family val="1"/>
      </rPr>
      <t xml:space="preserve">through GSA’s Schedules Program, which is used by federal agencies to procure products and services. These schedules are a popular procurement method in federal contracting. For more information, go to </t>
    </r>
    <r>
      <rPr>
        <u/>
        <sz val="12"/>
        <color rgb="FF1318F5"/>
        <rFont val="Times New Roman"/>
        <family val="1"/>
      </rPr>
      <t>www.gsa.gov.</t>
    </r>
  </si>
  <si>
    <r>
      <rPr>
        <b/>
        <sz val="12"/>
        <rFont val="Times New Roman"/>
        <family val="1"/>
      </rPr>
      <t xml:space="preserve">Research eligibility for Small Business Administration (SBA) certifications. </t>
    </r>
    <r>
      <rPr>
        <sz val="12"/>
        <rFont val="Times New Roman"/>
        <family val="1"/>
      </rPr>
      <t xml:space="preserve">The SBA offers the following certifications: SBA Certified 8(a) Program Participant and SBA Certified HUBZone Firm. Apply for certifications if you are eligible. Once certified, your company becomes eligible for restricted competition contracts, non-competitive contracts and/or price preferences. For more information go to </t>
    </r>
    <r>
      <rPr>
        <u/>
        <sz val="12"/>
        <color rgb="FF1318F5"/>
        <rFont val="Times New Roman"/>
        <family val="1"/>
      </rPr>
      <t>www.sba.gov.</t>
    </r>
  </si>
  <si>
    <r>
      <rPr>
        <b/>
        <sz val="12"/>
        <rFont val="Times New Roman"/>
        <family val="1"/>
      </rPr>
      <t xml:space="preserve">Prepare a one-page capability statement </t>
    </r>
    <r>
      <rPr>
        <sz val="12"/>
        <rFont val="Times New Roman"/>
        <family val="1"/>
      </rPr>
      <t>that identifies your company’s certifications, overview and experience as it relates to a specific or general opportunity being sought. Use the one-page statement as a way to introduce your company to HUD. E-mail it to the Forecast point of contact when inquiring about a contracting opportunity in the Forecast and request an appointment.</t>
    </r>
  </si>
  <si>
    <r>
      <rPr>
        <b/>
        <sz val="12"/>
        <rFont val="Times New Roman"/>
        <family val="1"/>
      </rPr>
      <t xml:space="preserve">Prepare a comprehensive capability statement </t>
    </r>
    <r>
      <rPr>
        <sz val="12"/>
        <rFont val="Times New Roman"/>
        <family val="1"/>
      </rPr>
      <t>that provides a complete overview of your company. Present this statement at marketing visits with HUD program office and OSDBU staff.</t>
    </r>
  </si>
  <si>
    <r>
      <rPr>
        <b/>
        <sz val="12"/>
        <color rgb="FF000000"/>
        <rFont val="Times New Roman"/>
        <family val="1"/>
      </rPr>
      <t>Conduct research.</t>
    </r>
    <r>
      <rPr>
        <sz val="12"/>
        <color rgb="FF000000"/>
        <rFont val="Times New Roman"/>
        <family val="1"/>
      </rPr>
      <t xml:space="preserve"> Visit www.hud.gov to research HUD and visit </t>
    </r>
    <r>
      <rPr>
        <u/>
        <sz val="12"/>
        <color rgb="FF1318F5"/>
        <rFont val="Times New Roman"/>
        <family val="1"/>
      </rPr>
      <t>www.hud.gov/funds/index.cfm</t>
    </r>
    <r>
      <rPr>
        <sz val="12"/>
        <color rgb="FF000000"/>
        <rFont val="Times New Roman"/>
        <family val="1"/>
      </rPr>
      <t xml:space="preserve"> to research the program offices in which you have an interest to understand the Department’s and program office’s mission, objectives and procurement needs. Also visit the Office of Small and Disadvantaged Business Utilization (OSDBU) website at </t>
    </r>
    <r>
      <rPr>
        <u/>
        <sz val="12"/>
        <color rgb="FF1318F5"/>
        <rFont val="Times New Roman"/>
        <family val="1"/>
      </rPr>
      <t>www.hud.gov/smallbusiness</t>
    </r>
    <r>
      <rPr>
        <sz val="12"/>
        <color rgb="FF000000"/>
        <rFont val="Times New Roman"/>
        <family val="1"/>
      </rPr>
      <t xml:space="preserve"> and review marketing publications. You will also find information on how to contact the OSDBU staff, outreach events and small business policies.</t>
    </r>
  </si>
  <si>
    <r>
      <rPr>
        <b/>
        <sz val="12"/>
        <color rgb="FF000000"/>
        <rFont val="Times New Roman"/>
        <family val="1"/>
      </rPr>
      <t>Find prime contracting opportunities procurements (excluding GSA Schedule buys) expected to exceed $25,000, for which HUD is currently soliciting bids or proposals.</t>
    </r>
    <r>
      <rPr>
        <sz val="12"/>
        <color rgb="FF000000"/>
        <rFont val="Times New Roman"/>
        <family val="1"/>
      </rPr>
      <t xml:space="preserve"> Review the at www.sam.gov, which is the on-line site where federal government agencies post procurement opportunities over $25,000. Also, visit HUD’s Contracting homepage, </t>
    </r>
    <r>
      <rPr>
        <u/>
        <sz val="12"/>
        <color rgb="FF1318F5"/>
        <rFont val="Times New Roman"/>
        <family val="1"/>
      </rPr>
      <t>www.hud.gov/offices/cpo/index.cfm</t>
    </r>
    <r>
      <rPr>
        <sz val="12"/>
        <color rgb="FF000000"/>
        <rFont val="Times New Roman"/>
        <family val="1"/>
      </rPr>
      <t xml:space="preserve">, which lists all competitive Forecast of Contracting Opportunities (Forecast) located at </t>
    </r>
    <r>
      <rPr>
        <u/>
        <sz val="12"/>
        <color rgb="FF1318F5"/>
        <rFont val="Times New Roman"/>
        <family val="1"/>
      </rPr>
      <t>www.hud.gov/program_offices/sdb/4cast</t>
    </r>
    <r>
      <rPr>
        <sz val="12"/>
        <color rgb="FF000000"/>
        <rFont val="Times New Roman"/>
        <family val="1"/>
      </rPr>
      <t xml:space="preserve"> to learn about proposed contracting opportunities; use the information to market your firm to HUD. Find subcontracting opportunities on HUD’s Contracting homepage, which lists HUD's prime contractors that may have subcontracting opportunities. Also, visit the SBA’s SUB-Net at </t>
    </r>
    <r>
      <rPr>
        <u/>
        <sz val="12"/>
        <color rgb="FF1318F5"/>
        <rFont val="Times New Roman"/>
        <family val="1"/>
      </rPr>
      <t>http://web.sba.gov/subnet</t>
    </r>
    <r>
      <rPr>
        <sz val="12"/>
        <color rgb="FF000000"/>
        <rFont val="Times New Roman"/>
        <family val="1"/>
      </rPr>
      <t xml:space="preserve"> for government-wide listings of subcontracting opportunities.</t>
    </r>
  </si>
  <si>
    <r>
      <rPr>
        <b/>
        <sz val="12"/>
        <rFont val="Times New Roman"/>
        <family val="1"/>
      </rPr>
      <t xml:space="preserve">Arrange appointments </t>
    </r>
    <r>
      <rPr>
        <sz val="12"/>
        <rFont val="Times New Roman"/>
        <family val="1"/>
      </rPr>
      <t>with the program office staff to discuss contracting opportunities for which you are qualified. Use your limited time with them to present your multi-page capability statement, certifications and GSA schedules. Elaborate on previous related experience, especially federal government experience.</t>
    </r>
  </si>
  <si>
    <r>
      <rPr>
        <b/>
        <sz val="12"/>
        <rFont val="Times New Roman"/>
        <family val="1"/>
      </rPr>
      <t xml:space="preserve">Participate in HUD small business events. </t>
    </r>
    <r>
      <rPr>
        <sz val="12"/>
        <rFont val="Times New Roman"/>
        <family val="1"/>
      </rPr>
      <t xml:space="preserve">HUD sponsors several small business fairs during the year where you can market your firm to program office staff and HUD’s prime contractors. These events also provide the opportunity to network with other businesses for potential teaming and subcontracting arrangements. HUD also participates in procurement conferences, expos and networking events across the country. </t>
    </r>
  </si>
  <si>
    <t>SECTION IV: DESCRIPTION OF FORECAST CATEGORIES</t>
  </si>
  <si>
    <t xml:space="preserve">
The following provides a description of the categories listed in the Forecast:</t>
  </si>
  <si>
    <r>
      <t>Plan Number</t>
    </r>
    <r>
      <rPr>
        <sz val="12"/>
        <rFont val="Times New Roman"/>
        <family val="1"/>
      </rPr>
      <t>: This category provides the tracking number of the planned contract. Vendors should reference the plan number when requesting information on a planned contract.</t>
    </r>
  </si>
  <si>
    <r>
      <rPr>
        <b/>
        <sz val="12"/>
        <rFont val="Times New Roman"/>
        <family val="1"/>
      </rPr>
      <t xml:space="preserve">Requirement Type: </t>
    </r>
    <r>
      <rPr>
        <sz val="12"/>
        <rFont val="Times New Roman"/>
        <family val="1"/>
      </rPr>
      <t xml:space="preserve">This category identifies whether the procurement is a new requirement or recompete. A recompete is a requirement that has </t>
    </r>
    <r>
      <rPr>
        <sz val="12"/>
        <color rgb="FF000000"/>
        <rFont val="Times New Roman"/>
        <family val="1"/>
      </rPr>
      <t>exhausted its contract life term (base and option years); however, there is still a need for that service so the government must comply with competition requirements to allow other prospective contractors the opportunity to compete. A recompete does not guarantee that the incumbent will be awarded the contract.</t>
    </r>
  </si>
  <si>
    <r>
      <rPr>
        <b/>
        <sz val="12"/>
        <rFont val="Times New Roman"/>
        <family val="1"/>
      </rPr>
      <t xml:space="preserve">Description: </t>
    </r>
    <r>
      <rPr>
        <sz val="12"/>
        <rFont val="Times New Roman"/>
        <family val="1"/>
      </rPr>
      <t xml:space="preserve">Title of the requirement and a brief narrative of the purpose and need for the service or product; and in some instances, the </t>
    </r>
    <r>
      <rPr>
        <sz val="12"/>
        <color rgb="FF000000"/>
        <rFont val="Times New Roman"/>
        <family val="1"/>
      </rPr>
      <t xml:space="preserve">responsibilities expected of the selected contractor. Requirements that are recompetes may include the previous/expiring contract number. Visit </t>
    </r>
    <r>
      <rPr>
        <u/>
        <sz val="12"/>
        <color rgb="FF1318F5"/>
        <rFont val="Times New Roman"/>
        <family val="1"/>
      </rPr>
      <t>www.fpds.gov</t>
    </r>
    <r>
      <rPr>
        <sz val="12"/>
        <color rgb="FF000000"/>
        <rFont val="Times New Roman"/>
        <family val="1"/>
      </rPr>
      <t xml:space="preserve"> to view contract award information.</t>
    </r>
  </si>
  <si>
    <r>
      <rPr>
        <b/>
        <sz val="12"/>
        <rFont val="Times New Roman"/>
        <family val="1"/>
      </rPr>
      <t>Primary NAICS Code / GSA Schedule</t>
    </r>
    <r>
      <rPr>
        <sz val="12"/>
        <rFont val="Times New Roman"/>
        <family val="1"/>
      </rPr>
      <t xml:space="preserve">: The North American Industry Classification Code System (NAICS) and/or the GSA Schedule vehicle </t>
    </r>
    <r>
      <rPr>
        <sz val="12"/>
        <color rgb="FF000000"/>
        <rFont val="Times New Roman"/>
        <family val="1"/>
      </rPr>
      <t>utilized to procure contract.</t>
    </r>
  </si>
  <si>
    <r>
      <rPr>
        <b/>
        <sz val="12"/>
        <rFont val="Times New Roman"/>
        <family val="1"/>
      </rPr>
      <t xml:space="preserve">Type of Competition: </t>
    </r>
    <r>
      <rPr>
        <sz val="12"/>
        <rFont val="Times New Roman"/>
        <family val="1"/>
      </rPr>
      <t xml:space="preserve">The type of competition (e.g. small business set-aside, 8(a) sole source, full and open) is provided for each planned contract </t>
    </r>
    <r>
      <rPr>
        <sz val="12"/>
        <color rgb="FF000000"/>
        <rFont val="Times New Roman"/>
        <family val="1"/>
      </rPr>
      <t>to allow for easier marketing for both business and program management. For example, “Full and Open” means that all businesses, regardless of size, are offered the opportunity to submit a proposal or bid.</t>
    </r>
  </si>
  <si>
    <r>
      <rPr>
        <b/>
        <sz val="12"/>
        <rFont val="Times New Roman"/>
        <family val="1"/>
      </rPr>
      <t>Total Contract Value Dollar Range</t>
    </r>
    <r>
      <rPr>
        <sz val="12"/>
        <rFont val="Times New Roman"/>
        <family val="1"/>
      </rPr>
      <t>: Each planned contract lists an estimated budget that has been determined sufficient to perform the service.</t>
    </r>
    <r>
      <rPr>
        <sz val="12"/>
        <color rgb="FF000000"/>
        <rFont val="Times New Roman"/>
        <family val="1"/>
      </rPr>
      <t xml:space="preserve">  The dollar values for each anticipated contract action includes all base and option periods and represents the lower and higher range dollar value for each procurement action.</t>
    </r>
  </si>
  <si>
    <r>
      <rPr>
        <b/>
        <sz val="12"/>
        <rFont val="Times New Roman"/>
        <family val="1"/>
      </rPr>
      <t>Point of Contact</t>
    </r>
    <r>
      <rPr>
        <sz val="12"/>
        <rFont val="Times New Roman"/>
        <family val="1"/>
      </rPr>
      <t xml:space="preserve">: Businesses that are interested in a planned contract should contact the listed point of contact via e-mail or telephone and request a </t>
    </r>
    <r>
      <rPr>
        <sz val="12"/>
        <color rgb="FF000000"/>
        <rFont val="Times New Roman"/>
        <family val="1"/>
      </rPr>
      <t>meeting to market their firm’s capabilities for a particular requirement.</t>
    </r>
  </si>
  <si>
    <r>
      <t xml:space="preserve">Solicitation Release Date:  </t>
    </r>
    <r>
      <rPr>
        <sz val="12"/>
        <rFont val="Times New Roman"/>
        <family val="1"/>
      </rPr>
      <t xml:space="preserve">This is the month of the federal fiscal year (October 1 through September 30) in which it is anticipated that the solicitation will be released.  </t>
    </r>
  </si>
  <si>
    <r>
      <rPr>
        <b/>
        <sz val="12"/>
        <rFont val="Times New Roman"/>
        <family val="1"/>
      </rPr>
      <t xml:space="preserve">Award Date: </t>
    </r>
    <r>
      <rPr>
        <sz val="12"/>
        <rFont val="Times New Roman"/>
        <family val="1"/>
      </rPr>
      <t xml:space="preserve"> This is the month of the federal fiscal year (October 1 through September 30) in which it is anticipated that the solicitation will be awarded.</t>
    </r>
  </si>
  <si>
    <r>
      <rPr>
        <b/>
        <sz val="12"/>
        <rFont val="Times New Roman"/>
        <family val="1"/>
      </rPr>
      <t xml:space="preserve">Contract Length: </t>
    </r>
    <r>
      <rPr>
        <sz val="12"/>
        <rFont val="Times New Roman"/>
        <family val="1"/>
      </rPr>
      <t>List the potential maximum length of contract. (e.g. 6 months, Base, Base and 4 option years, etc.)</t>
    </r>
    <r>
      <rPr>
        <b/>
        <sz val="12"/>
        <color rgb="FF000000"/>
        <rFont val="Times New Roman"/>
        <family val="1"/>
      </rPr>
      <t xml:space="preserve">. </t>
    </r>
    <r>
      <rPr>
        <sz val="12"/>
        <color rgb="FF000000"/>
        <rFont val="Times New Roman"/>
        <family val="1"/>
      </rPr>
      <t>"Other" means a base year that exceeds 12 months or a contract with greater than 4 Option years.</t>
    </r>
  </si>
  <si>
    <t>SECTION V: GLOSSARY OF TERMS &amp; ACRONYMS</t>
  </si>
  <si>
    <r>
      <rPr>
        <b/>
        <u/>
        <sz val="10.5"/>
        <rFont val="Times New Roman"/>
        <family val="1"/>
      </rPr>
      <t>Forecast “Status” Terminology</t>
    </r>
  </si>
  <si>
    <r>
      <rPr>
        <b/>
        <sz val="10.5"/>
        <rFont val="Times New Roman"/>
        <family val="1"/>
      </rPr>
      <t xml:space="preserve">New: </t>
    </r>
    <r>
      <rPr>
        <sz val="10.5"/>
        <rFont val="Times New Roman"/>
        <family val="1"/>
      </rPr>
      <t>After Version 1, “new” indicates additional planned contracts listed in the current Forecast.</t>
    </r>
  </si>
  <si>
    <r>
      <rPr>
        <b/>
        <sz val="10.5"/>
        <rFont val="Times New Roman"/>
        <family val="1"/>
      </rPr>
      <t xml:space="preserve">Action Closed-Pending Award: </t>
    </r>
    <r>
      <rPr>
        <sz val="10.5"/>
        <rFont val="Times New Roman"/>
        <family val="1"/>
      </rPr>
      <t xml:space="preserve">The planned contract is no longer available for marketing by classified firms. Although, the status of the planned contract may be identified as </t>
    </r>
    <r>
      <rPr>
        <sz val="10.5"/>
        <color rgb="FF000000"/>
        <rFont val="Times New Roman"/>
        <family val="1"/>
      </rPr>
      <t>“action closed-pending award,” there may be subcontracting opportunities available. Businesses are encouraged to notify either the program office contact person or the Contracting Officer during the marketing stages or early in the procurement process (before submission of request for quote or request for proposal) that they are interested in subcontracting opportunities for a specific requirement.</t>
    </r>
  </si>
  <si>
    <r>
      <rPr>
        <b/>
        <sz val="10.5"/>
        <rFont val="Times New Roman"/>
        <family val="1"/>
      </rPr>
      <t xml:space="preserve">Action Awarded: </t>
    </r>
    <r>
      <rPr>
        <sz val="10.5"/>
        <rFont val="Times New Roman"/>
        <family val="1"/>
      </rPr>
      <t>The procurement process has been completed and the planned contract has been awarded.</t>
    </r>
  </si>
  <si>
    <r>
      <rPr>
        <b/>
        <sz val="10.5"/>
        <rFont val="Times New Roman"/>
        <family val="1"/>
      </rPr>
      <t xml:space="preserve">Action Cancelled: </t>
    </r>
    <r>
      <rPr>
        <sz val="10.5"/>
        <rFont val="Times New Roman"/>
        <family val="1"/>
      </rPr>
      <t>The planned contract has been cancelled for the fiscal year or postponed until next fiscal year.</t>
    </r>
  </si>
  <si>
    <r>
      <rPr>
        <b/>
        <u/>
        <sz val="10.5"/>
        <rFont val="Times New Roman"/>
        <family val="1"/>
      </rPr>
      <t>Small Business Terminology</t>
    </r>
  </si>
  <si>
    <r>
      <rPr>
        <b/>
        <sz val="10.5"/>
        <rFont val="Times New Roman"/>
        <family val="1"/>
      </rPr>
      <t xml:space="preserve">Small Business </t>
    </r>
    <r>
      <rPr>
        <sz val="10.5"/>
        <rFont val="Times New Roman"/>
        <family val="1"/>
      </rPr>
      <t xml:space="preserve">- A business that is independently owned and operated and which is not dominant in its field of operation and in conformity with specific industry criteria defined </t>
    </r>
    <r>
      <rPr>
        <sz val="10.5"/>
        <color rgb="FF000000"/>
        <rFont val="Times New Roman"/>
        <family val="1"/>
      </rPr>
      <t xml:space="preserve">by the Small Business Administration (SBA). Depending on the industry, size standard eligibility is based on the average number of employees for the preceding twelve months or on sales volume averaged over a three-year period. </t>
    </r>
  </si>
  <si>
    <r>
      <rPr>
        <b/>
        <sz val="10.5"/>
        <rFont val="Times New Roman"/>
        <family val="1"/>
      </rPr>
      <t xml:space="preserve">Small Disadvantaged Business </t>
    </r>
    <r>
      <rPr>
        <sz val="10.5"/>
        <rFont val="Times New Roman"/>
        <family val="1"/>
      </rPr>
      <t xml:space="preserve">- A small business that is at least 51% owned and controlled by a socially and economically disadvantaged individual or individuals. This can </t>
    </r>
    <r>
      <rPr>
        <sz val="10.5"/>
        <color rgb="FF000000"/>
        <rFont val="Times New Roman"/>
        <family val="1"/>
      </rPr>
      <t xml:space="preserve">include a publicly owned business that has at least 51 % of its stock unconditionally owned by one or more socially and economically disadvantaged individuals; and one or more such individuals control the management and business operations. </t>
    </r>
  </si>
  <si>
    <r>
      <rPr>
        <b/>
        <sz val="10.5"/>
        <rFont val="Times New Roman"/>
        <family val="1"/>
      </rPr>
      <t xml:space="preserve">8(a) Firm - </t>
    </r>
    <r>
      <rPr>
        <sz val="10.5"/>
        <rFont val="Times New Roman"/>
        <family val="1"/>
      </rPr>
      <t xml:space="preserve">A firm participating in the SBA’s business development program created to help eligible small disadvantaged businesses become independently competitive in the </t>
    </r>
    <r>
      <rPr>
        <sz val="10.5"/>
        <color rgb="FF000000"/>
        <rFont val="Times New Roman"/>
        <family val="1"/>
      </rPr>
      <t>federal procurement market. A firm must be 51% owned and controlled by a socially and economically disadvantaged individual or individuals to be eligible for the 8(a) Program. The SBA must certify small businesses that want to claim 8(a) status.</t>
    </r>
  </si>
  <si>
    <r>
      <rPr>
        <b/>
        <sz val="10.5"/>
        <rFont val="Times New Roman"/>
        <family val="1"/>
      </rPr>
      <t xml:space="preserve">Historically Underutilized Business Zone (HUBZone) </t>
    </r>
    <r>
      <rPr>
        <sz val="10.5"/>
        <rFont val="Times New Roman"/>
        <family val="1"/>
      </rPr>
      <t xml:space="preserve">- A small businesses with 35% of its staff living in a HUBZone. The company must also maintain a "principal office" in </t>
    </r>
    <r>
      <rPr>
        <sz val="10.5"/>
        <color rgb="FF000000"/>
        <rFont val="Times New Roman"/>
        <family val="1"/>
      </rPr>
      <t>one of these specially designated areas. A principal office can be different from a company’s headquarters. The SBA must certify small businesses that want to claim HUBZone status.</t>
    </r>
    <r>
      <rPr>
        <b/>
        <sz val="10.5"/>
        <color rgb="FF000000"/>
        <rFont val="Times New Roman"/>
        <family val="1"/>
      </rPr>
      <t xml:space="preserve"> </t>
    </r>
  </si>
  <si>
    <r>
      <rPr>
        <b/>
        <sz val="10.5"/>
        <rFont val="Times New Roman"/>
        <family val="1"/>
      </rPr>
      <t xml:space="preserve">Service Disabled Veteran-Owned Small Business </t>
    </r>
    <r>
      <rPr>
        <sz val="10.5"/>
        <rFont val="Times New Roman"/>
        <family val="1"/>
      </rPr>
      <t xml:space="preserve">- A small business that is at least 51% owned by one or more service-disabled veterans. Service-disabled veteran means a </t>
    </r>
    <r>
      <rPr>
        <sz val="10.5"/>
        <color rgb="FF000000"/>
        <rFont val="Times New Roman"/>
        <family val="1"/>
      </rPr>
      <t xml:space="preserve">veteran with a disability that is service-connected; the disability was incurred in the line of duty while serving in the U.S. active military, naval or air service. </t>
    </r>
  </si>
  <si>
    <r>
      <t>Women‐Owned Small Business (WOSB) -</t>
    </r>
    <r>
      <rPr>
        <sz val="10.5"/>
        <color rgb="FF000000"/>
        <rFont val="Times New Roman"/>
        <family val="1"/>
      </rPr>
      <t xml:space="preserve"> A small business that is at least 51% directly and unconditionally owned and controlled by one or more women who are citizens (born or naturalized) of the United States. An</t>
    </r>
    <r>
      <rPr>
        <b/>
        <sz val="10.5"/>
        <color rgb="FF000000"/>
        <rFont val="Times New Roman"/>
        <family val="1"/>
      </rPr>
      <t xml:space="preserve"> Economically Disadvantaged Women Owned Small Business (EDWOSB) </t>
    </r>
    <r>
      <rPr>
        <sz val="10.5"/>
        <color rgb="FF000000"/>
        <rFont val="Times New Roman"/>
        <family val="1"/>
      </rPr>
      <t>is also a small business that is 51 percent ownership must be management and daily business operations of the concern must be controlled by one or more economically disadvantaged women.</t>
    </r>
  </si>
  <si>
    <r>
      <rPr>
        <b/>
        <sz val="10.5"/>
        <rFont val="Times New Roman"/>
        <family val="1"/>
      </rPr>
      <t xml:space="preserve">Joint Venture </t>
    </r>
    <r>
      <rPr>
        <sz val="10.5"/>
        <rFont val="Times New Roman"/>
        <family val="1"/>
      </rPr>
      <t xml:space="preserve">- In the SBA 8(a) Mentor-Protégé Program, an agreement between a certified 8(a) firm and a mentor firm to joint venture as a small business for a government </t>
    </r>
    <r>
      <rPr>
        <sz val="10.5"/>
        <color rgb="FF000000"/>
        <rFont val="Times New Roman"/>
        <family val="1"/>
      </rPr>
      <t xml:space="preserve">contract. The agreement must be in writing; and include an assessment of the Protégé’s needs, together with a description of the specific assistance that the Mentor will provide to address those needs. The agreement must also provide for the termination of the agreement with 30 days advance notice to the other party and to the SBA. Additionally, the agreement should state that it is for at least one year. </t>
    </r>
  </si>
  <si>
    <t xml:space="preserve"> SECTION VI: PRODUCTS &amp; SERVICES</t>
  </si>
  <si>
    <t>Legend:</t>
  </si>
  <si>
    <t>New</t>
  </si>
  <si>
    <t>Updated</t>
  </si>
  <si>
    <t>In Contracts Office/Pending Award/Cancelled/Awarded</t>
  </si>
  <si>
    <t>HUD Office</t>
  </si>
  <si>
    <t>Plan Number</t>
  </si>
  <si>
    <r>
      <rPr>
        <b/>
        <sz val="11"/>
        <rFont val="Times New Roman"/>
        <family val="1"/>
      </rPr>
      <t>Requirement
Type</t>
    </r>
  </si>
  <si>
    <t>Name (Description)</t>
  </si>
  <si>
    <t>Primary
NAICS Code or GSA Schedule</t>
  </si>
  <si>
    <r>
      <rPr>
        <b/>
        <sz val="11"/>
        <rFont val="Times New Roman"/>
        <family val="1"/>
      </rPr>
      <t>Type of
Competition</t>
    </r>
  </si>
  <si>
    <t>Total Contract Value Dollar Range (Base and All Option Values)</t>
  </si>
  <si>
    <t>Point of Contact 
Name &amp; E-mail</t>
  </si>
  <si>
    <t>Solicitation Release Date
(Month)</t>
  </si>
  <si>
    <t>Award Date (Month)</t>
  </si>
  <si>
    <t>Contract 
Length</t>
  </si>
  <si>
    <t>Administration</t>
  </si>
  <si>
    <t>Recompete</t>
  </si>
  <si>
    <t>Total Small Business</t>
  </si>
  <si>
    <t>$100,000 to $200,000</t>
  </si>
  <si>
    <t>BASE &amp; 4 OPTIONS</t>
  </si>
  <si>
    <t>AbilityOne</t>
  </si>
  <si>
    <t>$200,000 to $500,000</t>
  </si>
  <si>
    <t>Arthur.Harris1@hud.gov</t>
  </si>
  <si>
    <t>$50,000 to $75,000</t>
  </si>
  <si>
    <t>$500,000 to $1 million</t>
  </si>
  <si>
    <t>541519</t>
  </si>
  <si>
    <t>561110</t>
  </si>
  <si>
    <t>$3 million to $5 million</t>
  </si>
  <si>
    <t>Full and Open</t>
  </si>
  <si>
    <t>Chief Human Capital Officer</t>
  </si>
  <si>
    <t>New Contract</t>
  </si>
  <si>
    <t>Retirement plaques for agency employees</t>
  </si>
  <si>
    <t>BASE</t>
  </si>
  <si>
    <t>Kenneth.R.Davis@hud.gov</t>
  </si>
  <si>
    <t>Sole Source 8(A)</t>
  </si>
  <si>
    <t>$1 million to $2 million</t>
  </si>
  <si>
    <t>541511</t>
  </si>
  <si>
    <t>BASE &amp; 1 OPTION</t>
  </si>
  <si>
    <t>BASE &amp; 3 OPTIONS</t>
  </si>
  <si>
    <t>Chief Information Officer</t>
  </si>
  <si>
    <t>541512</t>
  </si>
  <si>
    <t>Competitive 8(A)</t>
  </si>
  <si>
    <t>$5 million to $10 million</t>
  </si>
  <si>
    <t>541511
GWAC</t>
  </si>
  <si>
    <t>Marcia.M.Parks@hud.gov</t>
  </si>
  <si>
    <t>Benita.D.Meadow@hud.gov</t>
  </si>
  <si>
    <t>Michael.S.Raschiatore@hud.gov</t>
  </si>
  <si>
    <t>$10 million to $50 million</t>
  </si>
  <si>
    <t>541519
GWAC</t>
  </si>
  <si>
    <t>$50 million to $150 million</t>
  </si>
  <si>
    <t>Gina.E.Lassiter@hud.gov</t>
  </si>
  <si>
    <t>Chief Procurement Officer</t>
  </si>
  <si>
    <t>541611</t>
  </si>
  <si>
    <t>$150 million or more</t>
  </si>
  <si>
    <t>TBD</t>
  </si>
  <si>
    <t>OTHER</t>
  </si>
  <si>
    <t>Community Planning and Development</t>
  </si>
  <si>
    <t>Fair Housing and Equal Opportunity</t>
  </si>
  <si>
    <t>518210</t>
  </si>
  <si>
    <t>Ginnie Mae</t>
  </si>
  <si>
    <t>$2 million to $3 million</t>
  </si>
  <si>
    <t>541611
GSA MAS</t>
  </si>
  <si>
    <t>611430</t>
  </si>
  <si>
    <t>Housing</t>
  </si>
  <si>
    <t>519290</t>
  </si>
  <si>
    <t>Housing Assistance Payment Support Services (HAPSS) competitive (Multiple awards)</t>
  </si>
  <si>
    <t>519290
GSA MAS</t>
  </si>
  <si>
    <t>Lead Hazard Control and Healthy Homes</t>
  </si>
  <si>
    <t>James.Williams@hud.gov</t>
  </si>
  <si>
    <t>$75,000 to $100,000</t>
  </si>
  <si>
    <t>Policy Development and Research</t>
  </si>
  <si>
    <t>541820</t>
  </si>
  <si>
    <t>HUBZone</t>
  </si>
  <si>
    <t>Public and Indian Housing</t>
  </si>
  <si>
    <t>Michael.Davenport@hud.gov</t>
  </si>
  <si>
    <t>Secretary</t>
  </si>
  <si>
    <t>Sherra.L.Jackson@hud.gov</t>
  </si>
  <si>
    <t>Note: The Office of Inspector General Forecast Data is not included.</t>
  </si>
  <si>
    <t xml:space="preserve"> ACQUISITION BY DOLLAR THRESHOLD</t>
  </si>
  <si>
    <t>Office Name</t>
  </si>
  <si>
    <t>0-5k</t>
  </si>
  <si>
    <t>5-10k</t>
  </si>
  <si>
    <t>10-25k</t>
  </si>
  <si>
    <t>25-50k</t>
  </si>
  <si>
    <t>50-75k</t>
  </si>
  <si>
    <t>75-100k</t>
  </si>
  <si>
    <t>100-200k</t>
  </si>
  <si>
    <t>200-500k</t>
  </si>
  <si>
    <t>500k-1M</t>
  </si>
  <si>
    <t>1-2M</t>
  </si>
  <si>
    <t>2-3M</t>
  </si>
  <si>
    <t>3-5M</t>
  </si>
  <si>
    <t>5-10M</t>
  </si>
  <si>
    <t>10-50M</t>
  </si>
  <si>
    <t>50-150M</t>
  </si>
  <si>
    <t>150M or more</t>
  </si>
  <si>
    <t>Total</t>
  </si>
  <si>
    <t>Office of Administration</t>
  </si>
  <si>
    <t>Office of Chief Financial Officer (OCFO)</t>
  </si>
  <si>
    <t>Office of Chief Human Capital Officer (OCHCO)</t>
  </si>
  <si>
    <t>Office of Chief Information Officer (OCIO)</t>
  </si>
  <si>
    <t>Office of the Chief Procurement Officer (OCPO)</t>
  </si>
  <si>
    <t>Office of Community Planning and Development (OCPD)</t>
  </si>
  <si>
    <t>Office of Fair Housing and Equal Opportunity (FHEO)</t>
  </si>
  <si>
    <t>Office of Field Policy and Management (OFPM)</t>
  </si>
  <si>
    <t>Office of General Counsel (OGC)</t>
  </si>
  <si>
    <t>Government National Mortgage Association (Ginnie Mae)</t>
  </si>
  <si>
    <t>Office of Housing</t>
  </si>
  <si>
    <t>Office of Lead Hazard Control and Healthy Homes (OLHCHH)</t>
  </si>
  <si>
    <t>Office of Policy Development and Research (PD&amp;R)</t>
  </si>
  <si>
    <t>Office of Public and Indian Housing (PIH)</t>
  </si>
  <si>
    <t>Office of the Secretary</t>
  </si>
  <si>
    <t>NAICS Code Description</t>
  </si>
  <si>
    <t>Primary NAICS Code</t>
  </si>
  <si>
    <t>Office of Chief Procurement Officer (OCPO)</t>
  </si>
  <si>
    <t>Office of Community Planning &amp; Development (OCPD)</t>
  </si>
  <si>
    <t>Percentage</t>
  </si>
  <si>
    <t>Computing Infrastructure Providers, Data Processing, Web Hosting, and Related Services</t>
  </si>
  <si>
    <t>Web Search Portals and All Other Information Services</t>
  </si>
  <si>
    <t xml:space="preserve">All Other Legal Services </t>
  </si>
  <si>
    <t>Offices of Certified Public Accountants</t>
  </si>
  <si>
    <t xml:space="preserve">Custom Computer Programming Services </t>
  </si>
  <si>
    <t>Computer Systems Design Services</t>
  </si>
  <si>
    <t>Other Computer Related Services</t>
  </si>
  <si>
    <t>Administrative Mgmt and General Mgmt Consulting Services</t>
  </si>
  <si>
    <t>Human Resources Consulting Services</t>
  </si>
  <si>
    <t>Marketing Consulting Services</t>
  </si>
  <si>
    <t xml:space="preserve">Process, Physical Distrib., &amp; Logistics Consulting Services </t>
  </si>
  <si>
    <t>Other Management Consulting Services</t>
  </si>
  <si>
    <t>Environmental Consulting Services</t>
  </si>
  <si>
    <t>Research &amp; Development in the Social Sciences &amp; Humanities</t>
  </si>
  <si>
    <t>Public Relations Agencies</t>
  </si>
  <si>
    <t>Marketing Research and Public Opinion Polling</t>
  </si>
  <si>
    <t>Translation and Interpretation Services</t>
  </si>
  <si>
    <t>Office Administrative Services</t>
  </si>
  <si>
    <t>Facilities Support Services</t>
  </si>
  <si>
    <t xml:space="preserve">Telemarketing Bureaus and Other Contact Centers </t>
  </si>
  <si>
    <t>Court Reporting and Stenotype Services</t>
  </si>
  <si>
    <t>Convention and Trade Show Organizers</t>
  </si>
  <si>
    <t>Professional and Management Development Training</t>
  </si>
  <si>
    <t>Type of Action</t>
  </si>
  <si>
    <t>Number of Actions</t>
  </si>
  <si>
    <t>% of Total Actions</t>
  </si>
  <si>
    <t>Small Business</t>
  </si>
  <si>
    <t>% by SB Category</t>
  </si>
  <si>
    <t>Total Small 
Business</t>
  </si>
  <si>
    <t xml:space="preserve">Total </t>
  </si>
  <si>
    <t>April.A.Cox@hud.gov</t>
  </si>
  <si>
    <t>Sr. Small Business Utilization Specialist</t>
  </si>
  <si>
    <t>Deputy Director</t>
  </si>
  <si>
    <t>Jean Lin Pao</t>
  </si>
  <si>
    <t>Director</t>
  </si>
  <si>
    <t>APP-U-2024-003</t>
  </si>
  <si>
    <t>561611</t>
  </si>
  <si>
    <t>Office of Departmental Equal Employment Opportunity (ODEEO)</t>
  </si>
  <si>
    <t>Departmental Equal Employment Opportunity</t>
  </si>
  <si>
    <t>Investigation and Personal Background Check Services</t>
  </si>
  <si>
    <t>Rodney.L.Johnson@hud.gov</t>
  </si>
  <si>
    <t>Adam.L.Hester@hud.gov</t>
  </si>
  <si>
    <t>WOSB</t>
  </si>
  <si>
    <t>Sharon.L.Washington@hud.gov</t>
  </si>
  <si>
    <t>Sharon L. Washington</t>
  </si>
  <si>
    <t>678-732-2494</t>
  </si>
  <si>
    <t>FISCAL YEAR 2024-2025</t>
  </si>
  <si>
    <t>Version 1</t>
  </si>
  <si>
    <r>
      <rPr>
        <b/>
        <sz val="12"/>
        <color rgb="FF000000"/>
        <rFont val="Times New Roman"/>
        <family val="1"/>
      </rPr>
      <t xml:space="preserve">
INTRODUCTION</t>
    </r>
    <r>
      <rPr>
        <sz val="12"/>
        <color rgb="FF000000"/>
        <rFont val="Times New Roman"/>
        <family val="1"/>
      </rPr>
      <t xml:space="preserve">
HUD is the principal federal agency responsible for the improvement and development of America’s housing and communities.  HUD’s programs include: mortgage insurance to help individuals and families become homeowners; rental subsidies to enable low-income families to find affordable housing; development, rehabilitation and modernization of the nation’s Public and Indian Housing stock; development of HUD-insured multifamily housing; enforcement of Federal Fair Housing laws; and the development, improvement and revitalization of American’s urban centers and neighborhoods.
Independent contractors of different business sizes assist the Department in carrying out its various programs and internal operations in the Washington, DC headquarters office and field offices.  The list of potential contracting opportunities in the following pages is for Fiscal Year 2024-2025 (October 1, 2023 through September 30, 2025).  
</t>
    </r>
    <r>
      <rPr>
        <b/>
        <sz val="12"/>
        <color rgb="FF000000"/>
        <rFont val="Times New Roman"/>
        <family val="1"/>
      </rPr>
      <t>MESSAGE TO SMALL BUSINESSES</t>
    </r>
    <r>
      <rPr>
        <sz val="12"/>
        <color rgb="FF000000"/>
        <rFont val="Times New Roman"/>
        <family val="1"/>
      </rPr>
      <t xml:space="preserve">
HUD is committed to providing maximum practicable opportunities in its acquisitions to small business, small disadvantaged business, 8(a), veteran-owned small business, service-disabled veteran-owned small business, HUBZone and woman-owned small business concerns. HUD encourages small and small disadvantaged businesses to partner, team or joint venture to maximize their opportunity to receive prime contracts.  The Forecast will assist small and small disadvantaged businesses with the opportunity to obtain prime and subcontracting opportunities.  HUD’s program offices provide the information contained in this document.  </t>
    </r>
    <r>
      <rPr>
        <b/>
        <sz val="12"/>
        <color rgb="FF000000"/>
        <rFont val="Times New Roman"/>
        <family val="1"/>
      </rPr>
      <t xml:space="preserve">If you discover errors or encounter problems establishing communication with the points of contact send an e-mail with </t>
    </r>
    <r>
      <rPr>
        <b/>
        <u/>
        <sz val="12"/>
        <color rgb="FF000000"/>
        <rFont val="Times New Roman"/>
        <family val="1"/>
      </rPr>
      <t>FORECAST PROBLEM</t>
    </r>
    <r>
      <rPr>
        <b/>
        <sz val="12"/>
        <color rgb="FF000000"/>
        <rFont val="Times New Roman"/>
        <family val="1"/>
      </rPr>
      <t xml:space="preserve"> in the subject line to smallbusiness@hud.gov </t>
    </r>
    <r>
      <rPr>
        <b/>
        <u/>
        <sz val="12"/>
        <color rgb="FF000000"/>
        <rFont val="Times New Roman"/>
        <family val="1"/>
      </rPr>
      <t>BRIEFLY</t>
    </r>
    <r>
      <rPr>
        <b/>
        <sz val="12"/>
        <color rgb="FF000000"/>
        <rFont val="Times New Roman"/>
        <family val="1"/>
      </rPr>
      <t xml:space="preserve"> stating your problem.</t>
    </r>
    <r>
      <rPr>
        <sz val="12"/>
        <color rgb="FF000000"/>
        <rFont val="Times New Roman"/>
        <family val="1"/>
      </rPr>
      <t xml:space="preserve">
</t>
    </r>
    <r>
      <rPr>
        <b/>
        <sz val="12"/>
        <color rgb="FF000000"/>
        <rFont val="Times New Roman"/>
        <family val="1"/>
      </rPr>
      <t>OSDBU’s MISSION STATEMENT</t>
    </r>
    <r>
      <rPr>
        <sz val="12"/>
        <color rgb="FF000000"/>
        <rFont val="Times New Roman"/>
        <family val="1"/>
      </rPr>
      <t xml:space="preserve">
The OSDBU mission is to ensure that small businesses, small disadvantaged businesses, 8(a) firms, women-owned small businesses, HUBZone businesses and veteran-owned small businesses are treated fairly and are provided an opportunity to compete and be selected for a fair amount of HUD’s direct and indirect contract dollars.</t>
    </r>
  </si>
  <si>
    <t>APP-A-2024-009</t>
  </si>
  <si>
    <t>Telephone Maintenance and Support Service</t>
  </si>
  <si>
    <t>APP-A-2024-010</t>
  </si>
  <si>
    <t>Telephone Service for Continuity of Operations (COOP)
Current Contract #86614321P00019</t>
  </si>
  <si>
    <t>APP-A-2024-017</t>
  </si>
  <si>
    <t>Custodial and Landscaping service for HUD Headquarters - Includes: Hand Sanitizer and Snow Services. 
Current Contract #86614319C00002</t>
  </si>
  <si>
    <t>561720</t>
  </si>
  <si>
    <t>APP-A-2024-018</t>
  </si>
  <si>
    <t>Indefinite Delivery Indefinite Quantity (IDIQ) Building Alterations for HUD Headquarters
Current Contract #86614319D00001</t>
  </si>
  <si>
    <t>236220</t>
  </si>
  <si>
    <t>APP-A-2024-022</t>
  </si>
  <si>
    <t>Continued support for Internet and WiFi for HUD Headquarters.
Current Contract #86543J19P00010</t>
  </si>
  <si>
    <t>Ciara.J.Scott2@hud.gov</t>
  </si>
  <si>
    <t>APP-A-2024-029</t>
  </si>
  <si>
    <t>Employee Notification System - Re-Compete for continued support for employee notification system for HUD.
Current Contract #86614319P00034</t>
  </si>
  <si>
    <t>APP-A-2024-084</t>
  </si>
  <si>
    <t>Court reporting services for the field</t>
  </si>
  <si>
    <t>561492</t>
  </si>
  <si>
    <t>Jenna.Sappenfield@hud.gov</t>
  </si>
  <si>
    <t>BASE &amp; 2 OPTIONS</t>
  </si>
  <si>
    <t>APP-A-2024-085</t>
  </si>
  <si>
    <t>Telephone Services for new telephone services including installations in Field Offices.
Current Contract #86543J18A00002</t>
  </si>
  <si>
    <t>517121</t>
  </si>
  <si>
    <t>Evelyn.Hoffman@hud.gov</t>
  </si>
  <si>
    <t>APP-A-2024-086</t>
  </si>
  <si>
    <t>Willowheart Armed Guards to provide armed guard service in Atlanta Office.
Current Contract #86543J19P00005</t>
  </si>
  <si>
    <t>561612</t>
  </si>
  <si>
    <t>Yvonne.G.Flores@hud.gov</t>
  </si>
  <si>
    <t>APP-A-2024-088</t>
  </si>
  <si>
    <t>Denver Building Services
Current Contract #86482521P00011</t>
  </si>
  <si>
    <t>561210</t>
  </si>
  <si>
    <t>APP-A-2024-089</t>
  </si>
  <si>
    <t>Blanket Purchase Agreement (BPA) for new furniture installation and storage for field offices.
Current Contract #86614319A00002</t>
  </si>
  <si>
    <t>337214
GSA</t>
  </si>
  <si>
    <t>APP-A-2024-090</t>
  </si>
  <si>
    <t>Moving Services for Field Offices - Blanket Purchase Agreement (BPA) needed for relocation services for HUD field offices.
Current Contract #86614319A00002</t>
  </si>
  <si>
    <t>484210
GSA</t>
  </si>
  <si>
    <t>APP-F-2024-012</t>
  </si>
  <si>
    <t>DATA Act Support Services
Current Contract #86615120F00005</t>
  </si>
  <si>
    <t>Harold.D.Owens@hud.gov</t>
  </si>
  <si>
    <t>APP-F-2024-027</t>
  </si>
  <si>
    <t>COVID 19 DATA Act Support Services - For COVID 19 DATA Act support services. 
Current Contract #86615120F00007</t>
  </si>
  <si>
    <t>APP-B-2024-002</t>
  </si>
  <si>
    <t>Annual subscription of the federal Human Capital Collaborative forum series.
Current Contract #86543J19P00003</t>
  </si>
  <si>
    <t>813920</t>
  </si>
  <si>
    <t>APP-B-2024-005</t>
  </si>
  <si>
    <t>Reader Services Americans with Disabilities Act (ADA) employee. 
Current Contract #86614323F00006</t>
  </si>
  <si>
    <t>541930
GSA MAS</t>
  </si>
  <si>
    <t>$25,000 to $50,000</t>
  </si>
  <si>
    <t>APP-B-2024-020</t>
  </si>
  <si>
    <t>Employee engagement initiative</t>
  </si>
  <si>
    <t>541511
GSA MAS</t>
  </si>
  <si>
    <t>APP-B-2024-032</t>
  </si>
  <si>
    <t>Retirement plaques - provide retirement plaques for agency employees</t>
  </si>
  <si>
    <t>332812</t>
  </si>
  <si>
    <t>Deborah.M.Lawrence-Wilson@hud.gov</t>
  </si>
  <si>
    <t>APP-B-2024-035</t>
  </si>
  <si>
    <r>
      <t>Supports Office of Executive Resources (OER)</t>
    </r>
    <r>
      <rPr>
        <sz val="11"/>
        <color rgb="FFFF0000"/>
        <rFont val="Times New Roman"/>
        <family val="1"/>
      </rPr>
      <t xml:space="preserve"> </t>
    </r>
    <r>
      <rPr>
        <sz val="11"/>
        <rFont val="Times New Roman"/>
        <family val="1"/>
      </rPr>
      <t>position management reforms and succession planning efforts for position management reviews, classification, and training support services.</t>
    </r>
  </si>
  <si>
    <t>541612
GWAC</t>
  </si>
  <si>
    <t>APP-B-2024-059</t>
  </si>
  <si>
    <t>Support creation of Enterprise Employee Engagement program office within Office of the Chief Human Capital Officer (OCHCO). The vendor will provide consulting support services in office creation and capability to deliver training and support services.</t>
  </si>
  <si>
    <t>541612
GSA MAS</t>
  </si>
  <si>
    <t>Lesley.W.Williams@hud.gov</t>
  </si>
  <si>
    <t>APP-B-2024-064</t>
  </si>
  <si>
    <t>Departmental Arbitration Sevices - Multiple arbitrations are held annually based on grievances filed. Multiple small purchases are issued on a sole source basis as requirements arise across the Department.</t>
  </si>
  <si>
    <t>541199</t>
  </si>
  <si>
    <t>$10,000 to $25,000</t>
  </si>
  <si>
    <t>Martha.E.Bullock@hud.gov</t>
  </si>
  <si>
    <t>APP-B-2024-070</t>
  </si>
  <si>
    <t>Court Reporting Support Services in support of arbitrations.</t>
  </si>
  <si>
    <t>$5,000 to $10,000</t>
  </si>
  <si>
    <t>APP-B-2024-078</t>
  </si>
  <si>
    <t>Collaboration Solution to acquire a virtual collaboration product for Office of the Chief Human Capital Officer (OCHCO) leadership.</t>
  </si>
  <si>
    <t>APP-Q-2024-006</t>
  </si>
  <si>
    <t>Autodesk, Architecture, Engineering &amp; Construction Collection AutoCAD Subscription single-user Licenses in support of the Office of the Chief Human Capital Officer (Office of the Chief Human Capital Officer (OCHCO))
Current Contract #86615323C00015</t>
  </si>
  <si>
    <t>423430
GWAC</t>
  </si>
  <si>
    <t>Tiffany.M.Brogan-clement@hud.gov</t>
  </si>
  <si>
    <t>APP-Q-2024-012</t>
  </si>
  <si>
    <t>Multifamily End User Support Services (MFEUSS) in support of Multifamily Housing
Current Contract #86615319F00007</t>
  </si>
  <si>
    <t>APP-Q-2024-013</t>
  </si>
  <si>
    <t xml:space="preserve">Enterprise Geographical Information System (eGIS) Licenses for On-demand eGIS Online mapping licenses in support of the Office of Policy Development and Research. 
Current Contract #86615319C00006 </t>
  </si>
  <si>
    <t>513210</t>
  </si>
  <si>
    <t>Shonta.D.Dawkins@hud.gov</t>
  </si>
  <si>
    <t>APP-Q-2024-019</t>
  </si>
  <si>
    <t>Enterprise Geographical Information System (eGIS) Operations and Management in support of the Office of Policy Development and Research.
Current Contract #GS00Q17GWD2016/86615319F00010</t>
  </si>
  <si>
    <t>APP-Q-2024-022</t>
  </si>
  <si>
    <t>JIRA Licenses in support of the Office of the Chief Information Officer
Current Contract #86615321F00018</t>
  </si>
  <si>
    <t>APP-Q-2024-062</t>
  </si>
  <si>
    <t>Oracle PeopleSoft and Hyperion Licenses in support of the Office of the Chief Information Officer
Current Contract #86615423F00003</t>
  </si>
  <si>
    <t>APP-Q-2024-063</t>
  </si>
  <si>
    <t>Microsoft Unified Support (previously Microsoft Premier) in support of the Office of the Chief Information Officer
Current Contract #86615422C00003</t>
  </si>
  <si>
    <t>APP-Q-2024-068</t>
  </si>
  <si>
    <t>Nortridge Loan Accounting System for an Office of the Chief Procurement Officer (OCPO) contract for Nortridge Loan Accounting System in support of the Office of the Chief Financial Officer
Current Contract #47QFDA19D0006/86543B19E00004</t>
  </si>
  <si>
    <t>541513</t>
  </si>
  <si>
    <t>APP-Q-2024-075</t>
  </si>
  <si>
    <t>Infrastructure and Operations Office (IOO) Support Contract in support of the Office of the Chief Information Officer
Current Contract #86615423C00001</t>
  </si>
  <si>
    <t>Malita.M.Dyson@hud.gov</t>
  </si>
  <si>
    <t>APP-Q-2024-082</t>
  </si>
  <si>
    <t>Infrastructure and Operations Office (IOO) Infrastructure IT Integration and Deployment &amp; O&amp;M in support of the Office of the Chief Information Officer</t>
  </si>
  <si>
    <t>APP-N-2024-003</t>
  </si>
  <si>
    <t>National Congress Management Association (NCMA) World Congress - Office of the Chief Procurement Officer (OCPO) staff attendance at NCMA's World Congress conference.</t>
  </si>
  <si>
    <t>APP-N-2024-012</t>
  </si>
  <si>
    <t>To provide FPDS Data Error Check for Office of the Chief Procurement Officer (OCPO). Vendor will provide procurement analytic subscription which will help improve procurement data quality.
Current Contract: GS00F0007X/86615119F00004</t>
  </si>
  <si>
    <t>Leslie.H.Ryce@hud.gov</t>
  </si>
  <si>
    <t>APP-N-2024-014</t>
  </si>
  <si>
    <t>Virtual Acquisition Office (VAO) Subscription in Support of Office of the Chief Procurement Officer (OCPO) - to obtain VAO subscriptions on support of Office of the Chief Procurement Officer (OCPO) which provides a variety of contractual tools and guidance to help the contracting staff to execute tasks effectively and efficiently.
Current Contract #86615121F00012</t>
  </si>
  <si>
    <t>APP-D-2024-002</t>
  </si>
  <si>
    <t xml:space="preserve">Youth Homeless Demonstration, NOFA, and CoC Reviewers - Hire a coordinator and up to 12 Youth Reviewers who have experienced homelessness to review proposals that give funds to impact their communities
Current Contract #86615720P00008 </t>
  </si>
  <si>
    <t>APP-D-2024-007</t>
  </si>
  <si>
    <t xml:space="preserve">Provide event services for Housing Opportunities for Persons with AIDS (HOPWA) regional conferences for grantees. </t>
  </si>
  <si>
    <t>EEO Investigative Services for EEO counseling, perform investigations of discrimination complaints and harassing conduct; ROIs and FADs in support of ODEEO.</t>
  </si>
  <si>
    <t>Sonya.E.Carter@hud.gov</t>
  </si>
  <si>
    <t>APP-E-2024-001</t>
  </si>
  <si>
    <t>Information Resource Center (IRC) for expanded IRC services for FHIP.
Current Contract #86615719C00007</t>
  </si>
  <si>
    <t>APP-E-2024-003</t>
  </si>
  <si>
    <t xml:space="preserve">Accessibility compliance consulting services </t>
  </si>
  <si>
    <t>APP-E-2024-009</t>
  </si>
  <si>
    <t>Implement and facilitate HUD Speaks initiative to raise awareness of HUD's free language assistance services.</t>
  </si>
  <si>
    <t>541613
GSA MAS</t>
  </si>
  <si>
    <t>APP-E-2024-010</t>
  </si>
  <si>
    <t>Affirmatively Furthering Fair Housing support services to support Workflow Analysis, Risk Assessment, and Process Development.</t>
  </si>
  <si>
    <t>APP-E-2024-017</t>
  </si>
  <si>
    <t>FIRST Accessibility Program Support and Technical Assistance Services for expanded services for FIRST Accessibility contract to provide technical guidance to stakeholders.
Current Contract #86615721C00013</t>
  </si>
  <si>
    <t>APP-E-2024-019</t>
  </si>
  <si>
    <t xml:space="preserve">OPLIO Customer Relationship Manager Solution - For Customer Relationship Manager subscription services for OPLIO. </t>
  </si>
  <si>
    <t>APP-E-2024-020</t>
  </si>
  <si>
    <t>Program Review Support Services - To support Fair Housing and Equal Opportunity (FHEO) efforts to transform the FHEO operational model to better support the equitable and efficient resolution of housing discrimination cases.</t>
  </si>
  <si>
    <t>Field Policy and Management</t>
  </si>
  <si>
    <t>APP-M-2024-002</t>
  </si>
  <si>
    <t>Field Policy and Management (FPM) All Managers Meeting - for in-person meeting of all FPM Managers up to 120 people to include meeting space, audio visual equipment and services, and refreshments.</t>
  </si>
  <si>
    <t>721110</t>
  </si>
  <si>
    <t>Sarah.M.Lyke@hud.gov</t>
  </si>
  <si>
    <t>APP-M-2024-003</t>
  </si>
  <si>
    <t>Field Policy and Management (FPM)/Department of Labor (DOL) Seminar Spring - for in-person, 2-day seminar for up to 175 ppl co-hosted by HUD FPM and DOL for Davis Bacon and Labor Standards (DBLS) stakeholders to include meeting space, audio visual equipment and services, and light refreshments.</t>
  </si>
  <si>
    <t>APP-M-2024-004</t>
  </si>
  <si>
    <t>FPM/DOL Seminar Spring - for in-person, 2-day seminar for up to 175 ppl co-hosted by HUD FPM and DOL for Davis Bacon and Labor Standards (DBLS) stakeholders to include meeting space, audio visual equipment and services, and light refreshments.</t>
  </si>
  <si>
    <t>APP-T-2024-004</t>
  </si>
  <si>
    <t>Auditing and Assessment Services for Information Assurance and Infrastructure Support for Cloud Services Control Assessments and monitoring.</t>
  </si>
  <si>
    <t>REQUIREMENTMENT IS IN THE CONTRACTS OFFICE AND CAN NO LONGER BE DISCUSSED.
Please contact Pamela Kelly, Director at Pamela.C.Kelly@hud.gov</t>
  </si>
  <si>
    <t>APP-T-2024-008</t>
  </si>
  <si>
    <t xml:space="preserve">eVault Technology Services to assess and examine business processes, system enhancements, and program guidance necessary to intake digitized collateral documents (i.e. eMortgages). 
Current Contract #47QFDA20C0001 </t>
  </si>
  <si>
    <t>APP-T-2024-012</t>
  </si>
  <si>
    <t>Ginnie Mae Conference Support MBA Secondary - Conference Support for Ginnie Mae attendance for a industry sponsored conference (MBA Association)</t>
  </si>
  <si>
    <t>561920</t>
  </si>
  <si>
    <t>APP-T-2024-013</t>
  </si>
  <si>
    <t>Ginnie Mae Conference Support MBA Annual - Conference Support for Ginnie Mae attendance for a industry sponsored Conference (MBA Association).</t>
  </si>
  <si>
    <t>APP-T-2024-014</t>
  </si>
  <si>
    <t>Ginnie Mae MBA Commerical Real Estate Finance (CREF) Conference Support - Conference Support for Ginnie Mae attendance for a industry sponsored conference. (MBA Association)</t>
  </si>
  <si>
    <t>APP-T-2024-015</t>
  </si>
  <si>
    <t>Ginnie Mae MBA Servicing Conference Support - Conference support for Ginnie Mae attendance for a industry sponsored conference (MBA Association)</t>
  </si>
  <si>
    <t>APP-T-2024-028</t>
  </si>
  <si>
    <t>Mortgage-Backed Securities (MBS) Business Advisory Committee Support to procure vendor support in order to support day to day operations of a Federal Advisory Committee Act (FACA) compliant MBS Business Advisory Committee.</t>
  </si>
  <si>
    <t>Wendy.Johnson@hud.gov</t>
  </si>
  <si>
    <t>APP-T-2024-030</t>
  </si>
  <si>
    <t>Enterprise Strategic Enablement (ESE) - ESE operating model and support the management of Business-as-Usual audit requirements.</t>
  </si>
  <si>
    <t>541211</t>
  </si>
  <si>
    <t>APP-T-2024-037</t>
  </si>
  <si>
    <t>Infrastructure, Independent Verification &amp; Validation (IV&amp;V), Modernization Support to provide support for the Ginnie Mae programs that require project management and professional support services to ensure the modernization program and activities are progressing on schedule. 
Current Contract #GS35F0466X/47QFDA20F0010</t>
  </si>
  <si>
    <t>APP-T-2024-048</t>
  </si>
  <si>
    <t>Financial Improvement Support services. 
Current Contract #86615622C00003</t>
  </si>
  <si>
    <t>APP-T-2024-054</t>
  </si>
  <si>
    <t>Macroeconomics Institution for Housing and Urban Development Studies (IHS) - The IHS Global Inc.'s US Economic Service Comp will provide forecasts and analytical coverage of concepts such as composition of gross domestic product.</t>
  </si>
  <si>
    <t>Mitchell.L.Mccoy@hud.gov</t>
  </si>
  <si>
    <t>APP-T-2024-058</t>
  </si>
  <si>
    <t>Executive Data Support - Data Scientists - This procurement is for the development and delivery of next-level data analytic capabilities in data/information by uncovering needs, supporting decision making, and evaluating policy.</t>
  </si>
  <si>
    <t>APP-T-2024-059</t>
  </si>
  <si>
    <t>Middle Office Gap Analysis - Ginnie Mae seeks to procure data augmentation, analysis and reporting service</t>
  </si>
  <si>
    <t>APP-T-2024-062</t>
  </si>
  <si>
    <t>Digital Transformation Enterprise Platform Services (EPS) for the support necessary to bring the EPS environment to a fully operational state, achieve the Authority to Operate (ATO) and achieve eventual production capacity.</t>
  </si>
  <si>
    <t>APP-T-2024-073</t>
  </si>
  <si>
    <t>Remote Access to Ginnie Mae Infrastructure/Application Platform to support all contract teams supporting production operations, application development, privileged level access to all Ginnie Mae business applications and infrastructure.</t>
  </si>
  <si>
    <t>APP-T-2024-074</t>
  </si>
  <si>
    <t>Ginnie Mae Cybersecurity Training &amp; Awareness Delivery and Management Platform to develop, manage and support a cloud-hosted, remotely-accessible cybersecurity training platform that is tailored to the business needs and operating environment of Ginnie Mae.</t>
  </si>
  <si>
    <t>611420</t>
  </si>
  <si>
    <t>APP-T-2024-075</t>
  </si>
  <si>
    <t>Enterprise Data/Analytics Program Assessment is an evaluative exercise to take a holistic look at the desired business outcomes for Ginnie Mae's data/analytics program and make forward-leaning recommendations.</t>
  </si>
  <si>
    <t>APP-T-2024-076</t>
  </si>
  <si>
    <t>Enterprise IT O&amp;M for Business Applications - process of monitoring, upgrading, and maintaining the business applications on a continuous basis which is required to ensure these systems are secure and operating effectively and efficiently.</t>
  </si>
  <si>
    <t>APP-T-2024-093</t>
  </si>
  <si>
    <t>Compliance Reviews, whether they be on-site or performed remotely, assess both Ginnie Mae Issuer and Document Custodian adherence to Ginnie Mae requirements.
Current Contract #86615623C00008</t>
  </si>
  <si>
    <t>APP-T-2024-100</t>
  </si>
  <si>
    <t>Risk Management Support for Compliance and Risk Management Work: MSS Support for all contracts including audit readiness.
Current Contract #GS00F101CA/47QFDA18A0003</t>
  </si>
  <si>
    <t>APP-H-2024-002</t>
  </si>
  <si>
    <t>Office of Healthcare Programs (OHP) Healthcare Portal Tool (Portal)
Current Contract# GS-06F-0865Z/86615620F00004</t>
  </si>
  <si>
    <t>APP-H-2024-007</t>
  </si>
  <si>
    <t>242 Office of Healthcare Programs (OHP) Online Financial Subscription Services
Current Contract #86615619P00004</t>
  </si>
  <si>
    <t>APP-H-2024-018</t>
  </si>
  <si>
    <t>Agency and Participant Research Services to provide access to non-profit financial and agency performance in support of Office of Housing Counseling (OHC). 
Current Contract #86615622P00004</t>
  </si>
  <si>
    <t>APP-H-2024-023</t>
  </si>
  <si>
    <t>Financial reviews of participants in HUD's Office of Housing Counseling (OHC) Program. 
Current Contract #GS2FL0111L/86615619F00006</t>
  </si>
  <si>
    <t>541219
GSA MAS</t>
  </si>
  <si>
    <t>APP-H-2024-026</t>
  </si>
  <si>
    <t>APP-H-2024-027</t>
  </si>
  <si>
    <t>APP-H-2024-041</t>
  </si>
  <si>
    <t>541211
GSA MAS</t>
  </si>
  <si>
    <t>APP-H-2024-045</t>
  </si>
  <si>
    <t>Standard Operating Procedures to improve and maintain the Office of Finance and Budget's (FAB) standard operating procedures (SOPs). Add workflow charts to add clarity on how to perform tasks effectively and active links to make current SOPs more engaging.</t>
  </si>
  <si>
    <t>APP-H-2024-046</t>
  </si>
  <si>
    <t>Multifamily Housing Rent and Occupancy Data Subscription
Current Contract #86543G19P00002</t>
  </si>
  <si>
    <t>APP-H-2024-049</t>
  </si>
  <si>
    <t>Improper Payments Information Act (IPIA) Monitoring Services in support of Manufactured Housing.
Current Contract #86615619C00010</t>
  </si>
  <si>
    <t>541350</t>
  </si>
  <si>
    <t>APP-H-2024-050</t>
  </si>
  <si>
    <t>Design Approval Primary Inspection Agency (DAPIA) Monitoring Services in support of Manufactured Housing.
Current Contract #86615619C00009</t>
  </si>
  <si>
    <t>541330</t>
  </si>
  <si>
    <t>APP-H-2024-051</t>
  </si>
  <si>
    <t>Providing support services for the Installation Program in support of Manufactured Housing.
Current Contract #86615619C00013</t>
  </si>
  <si>
    <t>APP-H-2024-058</t>
  </si>
  <si>
    <t>Housing Enterprise Risk Management (HERM) - To provide risk management services and a risk reporting tool in support of the Office of Risk.</t>
  </si>
  <si>
    <t>APP-H-2024-076</t>
  </si>
  <si>
    <t>Credit Reporting Services for the Office of Housing
Current Contract #GS00F226CA/86614919A00002</t>
  </si>
  <si>
    <t>561450</t>
  </si>
  <si>
    <t>APP-HU-2024-039</t>
  </si>
  <si>
    <t>Electronic Platform Support Services Subscription
Current Contract #86615619C00011</t>
  </si>
  <si>
    <t>APP-HU-2024-040</t>
  </si>
  <si>
    <t>Education and Outreach - Four Homeownership Centers (Atlanta/Philadelphia/Denver/San Antonio) and Program Support Division (PSD) Education and Outreach events.</t>
  </si>
  <si>
    <t>561990</t>
  </si>
  <si>
    <t>APP-HY-2024-003</t>
  </si>
  <si>
    <t>541310
GSA</t>
  </si>
  <si>
    <t>APP-HY-2024-004</t>
  </si>
  <si>
    <t>APP-HY-2024-005</t>
  </si>
  <si>
    <t>APP-HY-2024-006</t>
  </si>
  <si>
    <t>APP-HY-2024-007</t>
  </si>
  <si>
    <t>APP-HY-2024-009</t>
  </si>
  <si>
    <t>APP-HY-2024-022</t>
  </si>
  <si>
    <t>Post Closing Portfolio Management (PCPM) support services for Multifamily Housing.
Current Contract #86615719C00006</t>
  </si>
  <si>
    <t>523940</t>
  </si>
  <si>
    <t>APP-HY-2024-030</t>
  </si>
  <si>
    <t>Rent comparability studies for the Multifamily Midwest Region. 
Current Contract #86614119D00006</t>
  </si>
  <si>
    <t>531320</t>
  </si>
  <si>
    <t>APP-HY-2024-031</t>
  </si>
  <si>
    <t>Rent comparability studies for the Multifamily Northeast Region.
Current Contract #86614119D00001</t>
  </si>
  <si>
    <t>APP-HY-2024-032</t>
  </si>
  <si>
    <t>Rent comparability studies for the Multifamily West Region
Current Contract #86545A19D00002</t>
  </si>
  <si>
    <t>APP-HY-2024-036</t>
  </si>
  <si>
    <t>APP-HY-2024-042</t>
  </si>
  <si>
    <t>Nationwide appraisal services contract in support of Multifamily Property Disposition Division.
Current Contract #86614819D00002</t>
  </si>
  <si>
    <t>APP-HY-2024-044</t>
  </si>
  <si>
    <t>Specialized Inspection Property Analysis Area 3 &amp; 4 - Nationwide Specialized Inspection Property Analysis in support of the Property Disposition Division
Current Contract #86614819D00003</t>
  </si>
  <si>
    <t>541310</t>
  </si>
  <si>
    <t>APP-HY-2024-051</t>
  </si>
  <si>
    <t>APP-HY-2024-052</t>
  </si>
  <si>
    <t>School of Multifamily Mortgages for multifamily housing staff training.</t>
  </si>
  <si>
    <t>APP-HY-2024-053</t>
  </si>
  <si>
    <t>221d4 Affordable Housing Training for multifamily staff.</t>
  </si>
  <si>
    <t>APP-HY-2024-058</t>
  </si>
  <si>
    <t>Rent comparability studies for the Multifamily Northeast Region
Current Contract #86614119D00001</t>
  </si>
  <si>
    <t>APP-HY-2024-059</t>
  </si>
  <si>
    <t>Rent comparability studies for the Multifamily Southwest Region 
Current Contract #86614119A00003</t>
  </si>
  <si>
    <t>APP-HY-2024-060</t>
  </si>
  <si>
    <t>Rent comparability studies for the Multifamily Southwest Region 
Current Contract #86614119A00001</t>
  </si>
  <si>
    <t>APP-L-2024-006</t>
  </si>
  <si>
    <t>Exhibit Support and Regional Events - Logistical support for OLHCHH displays and materials for exhibits and conferences for set up, removal, and storage of exhibits.
Current Contract #86614120D00002</t>
  </si>
  <si>
    <t>541613</t>
  </si>
  <si>
    <t>APP-R-2024-012</t>
  </si>
  <si>
    <t xml:space="preserve">Realty Trac to provide performance evaluations, updates, and re-estimation of the confidential scorecard algorithms
Current Contract #86546A19C00001 </t>
  </si>
  <si>
    <t>531390</t>
  </si>
  <si>
    <t>Kee.N.Cheung@hud.gov</t>
  </si>
  <si>
    <t>APP-R-2024-019</t>
  </si>
  <si>
    <t>Services to provide access to various housing market related data for specific geographic areas in the country.
Current Contract #86546A19C00002</t>
  </si>
  <si>
    <t>541910</t>
  </si>
  <si>
    <t>Tomasz.M.Kukawski@hud.gov</t>
  </si>
  <si>
    <t>APP-R-2024-021</t>
  </si>
  <si>
    <t>Innovation in Affordable Housing Student Design to provide PDR assistance and support with topical knowledge in housing and community development, planning, logistics and outreach services.
Current Contract #86614619C00005</t>
  </si>
  <si>
    <t>Jagruti.D.Rekhi@hud.gov</t>
  </si>
  <si>
    <t>APP-R-2024-022</t>
  </si>
  <si>
    <t>CoStar Keys to purchase licenses
Current Contract #86614821D00003</t>
  </si>
  <si>
    <t>Diana.Villavicencio@hud.gov</t>
  </si>
  <si>
    <t>APP-R-2024-030</t>
  </si>
  <si>
    <t>The Esthetics of Accessibility to examine the impact of zoning and design standards/requirements and homeowner association (HOA) considerations for ramp construction and other accessible design considerations.</t>
  </si>
  <si>
    <t>541715</t>
  </si>
  <si>
    <t>Michael.D.Blanford@hud.gov</t>
  </si>
  <si>
    <t>APP-R-2024-031</t>
  </si>
  <si>
    <t>Current State of Brownfields Research to examine the broad disciplinary perspective on the current state of Brownfields research.</t>
  </si>
  <si>
    <t>APP-R-2024-032</t>
  </si>
  <si>
    <t>Falls Prevention: Suite of Technologies to research the current state of the art falls prevention technologies to develop a standardized, suite of low cost falls prevention technologies.</t>
  </si>
  <si>
    <t>APP-R-2024-033</t>
  </si>
  <si>
    <t>Affordable Heat Resilience to research and identify potential strategies to protect vulnerable populations, allowing residents to remain in their current housing.</t>
  </si>
  <si>
    <t>APP-R-2024-035</t>
  </si>
  <si>
    <t>To develop and test next-generation economic-mobility programs and develop a set of best practices and lessons learned by interviewing key researchers.</t>
  </si>
  <si>
    <t>541720
GSA MAS</t>
  </si>
  <si>
    <t>Nathan.S.Bossie@hud.gov</t>
  </si>
  <si>
    <t>APP-R-2024-036</t>
  </si>
  <si>
    <t>To determine the access to mental health care at publicly assisted housing sites for children and youth and obstacles that prevent or reduce timely take up of mental health care services.</t>
  </si>
  <si>
    <t>APP-R-2024-044</t>
  </si>
  <si>
    <t>To support the evaluation of the fifth and final cohort of the expanded Moving to Work (MTW) program.</t>
  </si>
  <si>
    <t>Anne.L.Fletcher@hud.gov</t>
  </si>
  <si>
    <t>APP-R-2024-045</t>
  </si>
  <si>
    <t>To identify promising practices in developing accessible Low Income Housing Tax Credit (LIHTC) units/properties and share them with national, state and local Housing Finance Agencys (HFA).</t>
  </si>
  <si>
    <t>Amanda.R.Gold@hud.gov</t>
  </si>
  <si>
    <t>APP-R-2024-046</t>
  </si>
  <si>
    <t>Adaptive Reuse Design Competition - Pilot - for a student design competition to accompany the Adaptive Reuse Study. Students will compete to develop innovative designs for redevelopment of facilities, such as former malls, grocery stores, and office buildings.</t>
  </si>
  <si>
    <t>Regina.C.Gray@hud.gov</t>
  </si>
  <si>
    <t>APP-R-2024-047</t>
  </si>
  <si>
    <t>To support select HUD program offices in the development and execution of energy and water benchmarking under the Green Resilient and Retrofit Program (GRRP).</t>
  </si>
  <si>
    <t>541715
GSA MAS</t>
  </si>
  <si>
    <t>APP-R-2024-048</t>
  </si>
  <si>
    <t>To support select HUD program offices in the program implementation of energy of the Green Resilient and Retrofit Program (GRRP)</t>
  </si>
  <si>
    <t>APP-R-2024-049</t>
  </si>
  <si>
    <t>HUD Utility Schedule Model Update to revise and update HUD's Utility Allowance Model that will enable the Department to account for utility usage in select HUD programs in which utility bills are paid by tenants.</t>
  </si>
  <si>
    <t>APP-R-2024-052</t>
  </si>
  <si>
    <t>To design a new demonstration to test alternative forms of rental assistance.</t>
  </si>
  <si>
    <t>Paul.A.Joice@hud.gov</t>
  </si>
  <si>
    <t>APP-R-2024-053</t>
  </si>
  <si>
    <t>To conduct Phase 2 of the Moving to Work (MTW) Stepped and Tiered Rent Demonstration (STRD). 
Current Contract #GS10F0245N/86614620F00010</t>
  </si>
  <si>
    <t>APP-R-2024-054</t>
  </si>
  <si>
    <t>Subscription Services to contract not yet awarded to purchase external subscription services to assist PDR staff in analyzing and assessing housing markets throughout the country.</t>
  </si>
  <si>
    <t>Gabe.A.Labovitz@hud.gov</t>
  </si>
  <si>
    <t>APP-R-2024-060</t>
  </si>
  <si>
    <t>To study if HUD-Assisted Households disproportionately lack access to green spaces and what the Department can do to address this challenge</t>
  </si>
  <si>
    <t>Mark.A.Reardon@hud.gov</t>
  </si>
  <si>
    <t>APP-R-2024-061</t>
  </si>
  <si>
    <r>
      <t>To assess the commuting experiences of essential/emergency workers over time with respect to the decrease in affordable housing o</t>
    </r>
    <r>
      <rPr>
        <sz val="11"/>
        <rFont val="Times New Roman"/>
        <family val="1"/>
      </rPr>
      <t>ptions and NIMBYism (Not in My Backyard Phenomenon)</t>
    </r>
  </si>
  <si>
    <t>APP-R-2024-062</t>
  </si>
  <si>
    <t>To study the feasibility of establishing an Electric Vehicle Car-Share program for residents of public housing.</t>
  </si>
  <si>
    <t>541618
GSA MAS</t>
  </si>
  <si>
    <t>APP-R-2024-063</t>
  </si>
  <si>
    <t>To examine case studies of juridistictions that adopted performance based codes rather than building to the prescriptive national or international building or residential codes.</t>
  </si>
  <si>
    <t>APP-R-2024-064</t>
  </si>
  <si>
    <t>To research post-disaster assessments of site planning to understand how Community Development Block Grant Diaster Recovery (CDBG-DR) funding has been used to recover from and plan for future disaster events.</t>
  </si>
  <si>
    <t>APP-R-2024-065</t>
  </si>
  <si>
    <t>To study the healthcare outcomes, program tenure, and service gaps across a larger sample of states and PRA and Project Rental Assistance Contract (PRAC) assisted households and over a longer period.</t>
  </si>
  <si>
    <t>Teresa.Souza@hud.gov</t>
  </si>
  <si>
    <t>APP-R-2024-066</t>
  </si>
  <si>
    <t>Condominiums &amp; Cooperatives for Affordable Homes to examine the unique profile of risks and benefits in the condominium and cooperative ownership models</t>
  </si>
  <si>
    <t>Elizabeth.C.Rudd@hud.gov</t>
  </si>
  <si>
    <t>APP-R-2024-067</t>
  </si>
  <si>
    <t>To evaluate the health impacts of the Green Resilient and Retrofit Program (GRRP).</t>
  </si>
  <si>
    <t>APP-R-2024-068</t>
  </si>
  <si>
    <t>Evaluation of Health and Housing Outcomes to explore resident and community health outcomes, as well as impacts on the built environment in high-heat climate zones.</t>
  </si>
  <si>
    <t>APP-R-2024-069</t>
  </si>
  <si>
    <t>Visualization Design and Planning for Housing and Equitable Development to study the benefits of utilizing "Digital Twins" - digital representations of the real-world created using visualization technology, such as Augmented Reality or Building Information Modeling.</t>
  </si>
  <si>
    <t>APP-R-2024-070</t>
  </si>
  <si>
    <t>Evaluating Section 3 Recruitment Strategies for Construction Projects to conduct a wide review of HUD's Section 3 programs and workforce development related to the constructing, maintaining, and enhancing the performance of buildings.</t>
  </si>
  <si>
    <t>APP-R-2024-073</t>
  </si>
  <si>
    <t>To conduct a demonstration that will test diferent mental health services plus cash transfers at a number of public housing developments</t>
  </si>
  <si>
    <t>Marina.L.Myhre@hud.gov</t>
  </si>
  <si>
    <t>APP-R-2024-109</t>
  </si>
  <si>
    <t>To examine the benefits of Community Development Block Grant Diaster Recovery (CDBG-DR) Funding</t>
  </si>
  <si>
    <t>APP-P-2024-010</t>
  </si>
  <si>
    <t>Office of Native American Programs (ONAP) Property Preservation to provide preservation and protection of foreclosed homes in ONAP portfolio of Section 184 loans.</t>
  </si>
  <si>
    <t>238990</t>
  </si>
  <si>
    <t>Valerie.Perry@hud.gov</t>
  </si>
  <si>
    <t>APP-P-2024-011</t>
  </si>
  <si>
    <t>Office of Native American Programs (ONAP) Tribal Advisory Support to provide support to the Tribal Intergovernmental Advisory Committee (TIAC) to include organizing virtual and in-person meetings.</t>
  </si>
  <si>
    <t>APP-P-2024-012</t>
  </si>
  <si>
    <r>
      <t xml:space="preserve">Office of Field Operations (OFO) Linkedin Pro for Government to provide 300 licenses for high quality learning content through an intuitive, easy-to-use experience. </t>
    </r>
    <r>
      <rPr>
        <sz val="11"/>
        <color rgb="FFFF0000"/>
        <rFont val="Times New Roman"/>
        <family val="1"/>
      </rPr>
      <t xml:space="preserve">
</t>
    </r>
    <r>
      <rPr>
        <sz val="11"/>
        <rFont val="Times New Roman"/>
        <family val="1"/>
      </rPr>
      <t xml:space="preserve">
Current Contract #86614821P00002</t>
    </r>
  </si>
  <si>
    <t>APP-P-2024-014</t>
  </si>
  <si>
    <t>Office of Field Operations (OFO) Receivership Public Housing Authority (PHA) to provide management of the day-to-day operations and recovery activities of the PHA.</t>
  </si>
  <si>
    <t>APP-P-2024-017</t>
  </si>
  <si>
    <t>Public Housing and Voucher Program (PHVP) Operating Training Fund Videos to provide training videos to support roll out and use of new Op Fund Portal modules.
Current Contract #86614821C00011</t>
  </si>
  <si>
    <t>APP-P-2024-024</t>
  </si>
  <si>
    <t>Public Housing and Voucher Program (PHVP) project based voucher (PBV) Subsidy Layering Review Assistance to provide subsidy layering reviews of construction or rehabilitation projects that would like to add PBV subsidy to the units to preserve affordable housing</t>
  </si>
  <si>
    <t>APP-P-2024-025</t>
  </si>
  <si>
    <t>Public Housing and Voucher Program (PHVP) Operating Fund Calculation to calculate operating subsidy are correctly functioning.</t>
  </si>
  <si>
    <t>APP-P-2024-026</t>
  </si>
  <si>
    <t>Public Housing and Voucher Program (PHVP) Energy Incentive Support and Validation Contract (PH) to provide Data validation for the Op Fund operating incentives to ensure accurate funding.</t>
  </si>
  <si>
    <t>APP-P-2024-027</t>
  </si>
  <si>
    <t>Public Housing and Voucher Program (PHVP) On-Demand Referrals Support to process referrals of eligible voucher applicants for rolling basis special purpose vouchers (SPV) awards and other referrals such as a VAWA on-demand emergency transfer program, as mandated by Congress.</t>
  </si>
  <si>
    <t>APP-P-2024-029</t>
  </si>
  <si>
    <t>Public Housing and Voucher Program (PHVP) HCV 101 for New Public Housing Authority (PHA)s/HUD staff to develop an online training tool for PHA and HUD staff on the HCV program, including PBV. This would be an "HCV 101." There would be a testing and certification component.</t>
  </si>
  <si>
    <t>APP-P-2024-030</t>
  </si>
  <si>
    <t>Public Housing and Voucher Program (PHVP) project based voucher (PBV) Program Cap Tool to develop a new process for Public Housing Authority (PHA) to notify HUD of their intent to project base vouchers subsequent to rule changes from HOTMA and the release of the HAP Contract Data Collection Tool</t>
  </si>
  <si>
    <t>APP-P-2024-031</t>
  </si>
  <si>
    <t>Public Housing and Voucher Program (PHVP) Conflict of Interest Capacity Building to develop curriculum for field offices and Public Housing Authority (PHA) that includes conflict of interest requirements related to HAP, hiring, board structure, and contracts.</t>
  </si>
  <si>
    <t>APP-P-2024-032</t>
  </si>
  <si>
    <t>Public Housing and Voucher Program (PHVP) project based voucher (PBV) Compliance Learning Pathway to develop multi-module online training program for all aspects of PBV development and management for the benefit of Public Housing Authority (PHA) and field office staff.</t>
  </si>
  <si>
    <t>APP-P-2024-036</t>
  </si>
  <si>
    <t>Real Estate Assessment Center (REAC) Local Code Violations to Accelerate the collection and assessment of local code violations in line with the Congressional directive.</t>
  </si>
  <si>
    <t>APP-P-2024-037</t>
  </si>
  <si>
    <t>Real Estate Assessment Center (REAC) IMPC Licensing to provide IMPC licensure to use the specific language from that standard in HUD's inspection app.</t>
  </si>
  <si>
    <t>541614</t>
  </si>
  <si>
    <t>APP-P-2024-046</t>
  </si>
  <si>
    <t>Real Estate Assessment Center (REAC) Resident Feedback to implement Resident Feedback based on recommendations from the Transformation Services Contract</t>
  </si>
  <si>
    <t>APP-P-2024-047</t>
  </si>
  <si>
    <t>Real Estate Assessment Center (REAC) Operations Support and Data Analytics to provide services to support processing of information and transactions across Real Estate Assessment Center (REAC) service areas from receipt through dissemination.</t>
  </si>
  <si>
    <t>APP-P-2024-048</t>
  </si>
  <si>
    <t>Real Estate Assessment Center (REAC) IV&amp;V for Contract Inspections to provide Continuous quality measurement and improvement of the physical inspection program and its tools can further enhance Real Estate Assessment Center (REAC)'s assessment of the assisted housing portfolio.</t>
  </si>
  <si>
    <t>APP-A-2025-014</t>
  </si>
  <si>
    <t>Shuttle Bus Service
Current Contract #86614320C00004</t>
  </si>
  <si>
    <t>485510</t>
  </si>
  <si>
    <t>APP-A-2025-027</t>
  </si>
  <si>
    <t xml:space="preserve">Mail-web based postage for postage service at HUD Headquarters.
Current Contract #86614320F00027 </t>
  </si>
  <si>
    <t>APP-A-2025-046</t>
  </si>
  <si>
    <t>Renewable energy to support compliance for sustainability.
Current Contract #86614320P00021</t>
  </si>
  <si>
    <t>221118</t>
  </si>
  <si>
    <t>Marie.H.Perry@hud.gov</t>
  </si>
  <si>
    <t>APP-A-2025-083</t>
  </si>
  <si>
    <t>Building services for Denver office.</t>
  </si>
  <si>
    <t>APP-B-2025-004</t>
  </si>
  <si>
    <t xml:space="preserve">Reader Services Americans with Disabilities Act (ADA) employee. </t>
  </si>
  <si>
    <t>541930
GSA</t>
  </si>
  <si>
    <t>APP-B-2025-032</t>
  </si>
  <si>
    <t>APP-B-2025-065</t>
  </si>
  <si>
    <t>Arbitration Support Services - Multiple arbitrations are held annually based on grievances filed. Multiple small purchases are issued on a sole source basis as requirements arise across the Department.</t>
  </si>
  <si>
    <t>APP-B-2025-070</t>
  </si>
  <si>
    <t>APP-B-2025-077</t>
  </si>
  <si>
    <t>Virtual collaboration solutions for Office of the Chief Human Capital Officer (OCHCO) leadership.</t>
  </si>
  <si>
    <t>APP-Q-2025-001</t>
  </si>
  <si>
    <t>Oracle Managed Cloud Services to host NCIS in support of the Office of the Chief Financial Officer
Current Contract #DU100I-15-I-06</t>
  </si>
  <si>
    <t>Furman.H.Leopard@hud.gov</t>
  </si>
  <si>
    <t>APP-Q-2025-006</t>
  </si>
  <si>
    <t>Autodesk, Architecture, Engineering &amp; Construction  Collection AutoCAD Subscription single-user Licenses in support of the Office of the Chief Human Capital Officer (Office of the Chief Human Capital Officer (OCHCO))</t>
  </si>
  <si>
    <t>APP-Q-2025-021</t>
  </si>
  <si>
    <t>Information Technology Investment Management Support (ITIMS) in support of the Office of the Chief Information Officer
Current Contract #86615321C00005</t>
  </si>
  <si>
    <t>APP-Q-2025-041</t>
  </si>
  <si>
    <t xml:space="preserve">Sumo Logic/Splunk Cloud Subscription in support of the Office of the Chief Information Officer
Current Contract #86615422F00001 </t>
  </si>
  <si>
    <t>Jeffrey.P.Horton@hud.gov</t>
  </si>
  <si>
    <t>APP-Q-2025-051</t>
  </si>
  <si>
    <t>Continuous Diagnostics and Mitigation (CDM) Tools required for AM (2E), Dynamic and Evolving Federal Enterprise Network Defense Group E (DEFEND E) and IAM CRED/PRIV in support of the Office of the Chief Information Officer
Current Contract #86615320E00001</t>
  </si>
  <si>
    <t>APP-Q-2025-061</t>
  </si>
  <si>
    <t>MicroStrategy Licenses in support of the Office of the Chief Information Officer
Current Contract #86615423F00002</t>
  </si>
  <si>
    <t>APP-Q-2025-062</t>
  </si>
  <si>
    <t>Oracle PeopleSoft &amp; Hyperion Licenses in support of the Office of the Chief Information Officer
Current Contract #86615423F00003</t>
  </si>
  <si>
    <t>APP-Q-2025-065</t>
  </si>
  <si>
    <t>IT Software Support - Oracle and Java in support of the Office of the Chief Information Officer Licenses
Current Contract #86615320F00005</t>
  </si>
  <si>
    <t>334111
GWAC</t>
  </si>
  <si>
    <t>APP-N-2025-014</t>
  </si>
  <si>
    <t>APP-M-2025-002</t>
  </si>
  <si>
    <t>APP-T-2025-005</t>
  </si>
  <si>
    <t>APP-T-2025-006</t>
  </si>
  <si>
    <t>APP-T-2025-007</t>
  </si>
  <si>
    <t>APP-T-2025-008</t>
  </si>
  <si>
    <t>APP-T-2025-018</t>
  </si>
  <si>
    <t>Contract Audit Review Services (CARS) - Conduct contractor compliance reviews and an internal control review. 
Previous Contract IAA #47QFDA21F0028/86615120E00009</t>
  </si>
  <si>
    <t>541219</t>
  </si>
  <si>
    <t>APP-T-2025-021</t>
  </si>
  <si>
    <t xml:space="preserve">Provide implementation, maintenance, and upgrades of Valuation Modeling (VAPE). 
Current Contract #47QFDA21F0011 </t>
  </si>
  <si>
    <t>APP-T-2025-033</t>
  </si>
  <si>
    <t>Ginnie Mae software acquisition services to include the Planning Phase, Execution, and Control Phase.
Current Contract #86615620F00011</t>
  </si>
  <si>
    <t>APP-T-2025-038</t>
  </si>
  <si>
    <t>Solutions Architecture Program in support of Ginnie Mae, Office of Enterprise Data &amp; Technology Solutions (OEDTS). 
Current Contract #HHSN316201200175W/86615621F00001</t>
  </si>
  <si>
    <t>APP-T-2025-088</t>
  </si>
  <si>
    <t>Oracle Unlimited License Agreement (ULA) and software support for Oracle Database (DB) Enterprise Edition software. 
Current Contract #86615622F00013</t>
  </si>
  <si>
    <t>APP-H-2025-006</t>
  </si>
  <si>
    <t xml:space="preserve">232 Office of Healthcare Programs (OHP) Residential Healthcare Facilities Support Services.
Current Contract #86615620C00008 </t>
  </si>
  <si>
    <t>APP-H-2025-018</t>
  </si>
  <si>
    <t>Agency and Participant Research Service - Services to provide access to non-profit financial and agency performance in support of Office of Housing Counseling (OHC). 
Current PO #86615620P00004</t>
  </si>
  <si>
    <t>APP-H-2025-032</t>
  </si>
  <si>
    <t>Asset Sales Compliance Analytics - Services to ensure that note sales are operated and managed in compliance with applicable policies and procedures.
Current Contract #86615720C00006</t>
  </si>
  <si>
    <t>APP-H-2025-034</t>
  </si>
  <si>
    <t xml:space="preserve">Title I Claims, Premiums, and Mail Support - Administrative support for evaluating and insuring Title I loans, billing and collecting Title I premiums, processing Title I and Home Equity Conversion Mortgages (HECM) claims, Fair Housing Administration (FHA) debts, incoming and outgoing mail, and report distribution.
Current Contract #86616020C00003 </t>
  </si>
  <si>
    <t>APP-H-2025-038</t>
  </si>
  <si>
    <t>Provide research services to assist with the processing of mortgage insurance premium (MIP) refunds, locate homeowners due refunds, and processing of cancelled checks.
Current Contract #GS00F178DA/86615720F00008</t>
  </si>
  <si>
    <t>APP-H-2025-049</t>
  </si>
  <si>
    <t>Technical Suitability of Products in support of Manufactured Housing.
Current Ccontract #86615620C00007</t>
  </si>
  <si>
    <t>APP-H-2025-050</t>
  </si>
  <si>
    <t>Administering organization services in support of the Manufactured Housing Consensus Committee (MHCC) and Manufactured Housing.
Current Contract #86615620C00001</t>
  </si>
  <si>
    <t>APP-H-2025-051</t>
  </si>
  <si>
    <t>Senior Housing, Nursing Homes, Assisted Living, Hospital and Healthcare Facilities Economic Data and Mapping Subscription for the Office of Risk.
Current Contract #86615720P00011</t>
  </si>
  <si>
    <t>APP-H-2025-061</t>
  </si>
  <si>
    <t>Independent Model Validation services in support of the Office of Risk. Services for the Management and Regulatory Affairs (ORMRA).
Current Contract #86615721C00001</t>
  </si>
  <si>
    <t>APP-H-2025-062</t>
  </si>
  <si>
    <t>Loan Servicing Data Subscription in support of the Office of Risk.
Current Contract #86615720C00002</t>
  </si>
  <si>
    <t>APP-HU-2025-047</t>
  </si>
  <si>
    <t>Webinar Services (Education and Outreach) in support of Philadelphia Homeownership Center (PHOC) Program Support. All Homeownership Centers (HOC).
Current Contract #86614320C00001</t>
  </si>
  <si>
    <t>512110</t>
  </si>
  <si>
    <t>APP-HU-2025-050</t>
  </si>
  <si>
    <t>Lead Based Paint Evaluation (LEC) services Indefinite Delivery Indefinite Quantity (IDIQ) in support of the Real Estate Owned (REO) Lead-Based Paint (LBP) Evaluation services national.  
Current Contract #'s: PHOC 86614121D0002, AHOC 86614121D0003, SAHOC 86614121D0004, DHOC 86614121D0001</t>
  </si>
  <si>
    <t>541620</t>
  </si>
  <si>
    <t>APP-HU-2025-054</t>
  </si>
  <si>
    <t>Online subscription service for verification of lender eligibility (VOLE).
Current Contract #86615621C00001</t>
  </si>
  <si>
    <t>APP-HU-2025-057</t>
  </si>
  <si>
    <t>APP-HU-2025-066</t>
  </si>
  <si>
    <t>Mortgagee Compliance Manager (MCM) 4.0 contract in support of OSFAM/NSC. 
Current Contract #86616020D00005</t>
  </si>
  <si>
    <t>APP-HY-2025-003</t>
  </si>
  <si>
    <t>541310
GSA MAS</t>
  </si>
  <si>
    <t>APP-HY-2025-004</t>
  </si>
  <si>
    <t>APP-HY-2025-005</t>
  </si>
  <si>
    <t>APP-HY-2025-006</t>
  </si>
  <si>
    <t>APP-HY-2025-007</t>
  </si>
  <si>
    <t>APP-HY-2025-009</t>
  </si>
  <si>
    <t>HAPSS (Housing Assistance Payment Support Services) competitive (Multiple awards)</t>
  </si>
  <si>
    <t>APP-HY-2025-012</t>
  </si>
  <si>
    <t>Multifamily (MF) Clearinghouse Call Center.
Current Contract #86615720P00004</t>
  </si>
  <si>
    <t>561422</t>
  </si>
  <si>
    <t>APP-HY-2025-016</t>
  </si>
  <si>
    <t>Public and Indian Housing (PIH) Inspire Program Management and Standards Development Support.
Current Contract #GS00F275CA/86614820F00007</t>
  </si>
  <si>
    <t>APP-HY-2025-029</t>
  </si>
  <si>
    <t>Financial advisory services/technical assistance for the programs administered by the Office of Recapitalization.
Current Contract #47QRAA19D003B/86615720F00011</t>
  </si>
  <si>
    <t>APP-HY-2025-030</t>
  </si>
  <si>
    <t>Rent Comp Studies (RCS) - Blanke Purchase Agreement (BPA) contract to be awarded for the Southwest region
Current Contract #86614119A00003</t>
  </si>
  <si>
    <t>APP-HY-2025-035</t>
  </si>
  <si>
    <t>APP-HY-2025-046</t>
  </si>
  <si>
    <t>APP-HY-2025-047</t>
  </si>
  <si>
    <t>School of Multifamily Mortgages for Multifamily staff training</t>
  </si>
  <si>
    <t>APP-HY-2025-048</t>
  </si>
  <si>
    <t>APP-HY-2025-051</t>
  </si>
  <si>
    <t>Subscription (50 estimated) for access keys to Market Research Data such as rent, property value and unit mix/size, etc. for all Regions.
Current Contract #86614821D00003</t>
  </si>
  <si>
    <t>APP-HY-2025-052</t>
  </si>
  <si>
    <t>Rent Comparability Studies (RCS) for Multifamily Southeast Region
(Consolidating need for previous year BPAs -86614119A00005, 86614119A00004 and 86614119A00006)</t>
  </si>
  <si>
    <t>APP-HY-2025-055</t>
  </si>
  <si>
    <t>Blanket Purchase Agreement (BPA) Rent Comparability Studies (RCS) for Multifamily Southwest Region
Current Contract #86614119A00003</t>
  </si>
  <si>
    <t>APP-R-2025-007</t>
  </si>
  <si>
    <t>Graphic design service to various HUD publications and documents. 
Current Contract #86614620F00005</t>
  </si>
  <si>
    <t>541910
GSA MAS</t>
  </si>
  <si>
    <t>Michelle.P.Matuga@hud.gov</t>
  </si>
  <si>
    <t>APP-R-2025-011</t>
  </si>
  <si>
    <t>Enable HUD to have timely data to generate relevant fair housing analysis and data to be shared with subgrantees.
Current Contract #86614620C00002</t>
  </si>
  <si>
    <t>541360</t>
  </si>
  <si>
    <t>Alexander.M.Din@hud.gov</t>
  </si>
  <si>
    <t>APP-R-2025-025</t>
  </si>
  <si>
    <t>Maintain the existing library catalogue through an Integrated Library System
Current Contract #86614820P00004</t>
  </si>
  <si>
    <t>Eric.C.Erickson@hud.gov</t>
  </si>
  <si>
    <t>APP-R-2025-033</t>
  </si>
  <si>
    <t>External subscription services to assist Policy Development and Research (PDR) staff in analyzing and assessing housing markets throughout the country.</t>
  </si>
  <si>
    <t>APP-R-2025-038</t>
  </si>
  <si>
    <t>Measurement of Broadband Access in MultiFamily Housing - Study the connectivity of broadband internet in multifamily HUD-assisted households to determine download/upload speeds and internet usage activities.</t>
  </si>
  <si>
    <t>APP-R-2025-039</t>
  </si>
  <si>
    <t>Explore policies and solutions that focus on sustainability solutions for housing construction that adapt the natural environment rather than replacing housing in areas subjected to natural disaster events.</t>
  </si>
  <si>
    <t>APP-R-2025-058</t>
  </si>
  <si>
    <t>Housing Choice Voucher (HCV) Mobility/Community Choice Demonstration Longterm Followup Survey - conduct a long-term followup survey of a subsample or the full sample of study participants to assess their experiences 12 to 36 months after random assignment.</t>
  </si>
  <si>
    <t>APP-R-2025-059</t>
  </si>
  <si>
    <t>Housing Choice Voucher (HCV) Mobility/Community Choice Demonstration Opt. 1 &amp; 2 Longterm Surveys - conduct a long-term follow-up survey 36-40 months after Option 1 and Option 2 HCV Mobility/CCD participants were enrolled in either Option 1 Home Assessment or Option 2 Adult and Child Assessment of the HCV Mobility/CCD.</t>
  </si>
  <si>
    <t>APP-R-2025-076</t>
  </si>
  <si>
    <t>Decentralized Renewable Energy - assess solar development of micro- grids to build capacity and enhance long term energy sustainability in low-income communities.</t>
  </si>
  <si>
    <t>APP-P-2025-002</t>
  </si>
  <si>
    <t>Office of Native American Programs (ONAP) Competitive Grant Review to provide secure qualified and competent reviewers, logistical support for the grant review process, and assistance with the review and paneling process.</t>
  </si>
  <si>
    <t>APP-P-2025-013</t>
  </si>
  <si>
    <t>APP-P-2025-023</t>
  </si>
  <si>
    <t>Public Housing and Voucher Programs (PHVP) On-Demand Referrals Support - process referrals of eligible voucher applicants for rolling basis Special Purpose Vouchers (SPV) awards and other referrals such as a Violence Against Women Act (VAWA) on-demand emergency transfer program, as mandated by Congress.</t>
  </si>
  <si>
    <t>APP-P-2025-025</t>
  </si>
  <si>
    <t>Public Housing and Voucher Programs (PHVP) Housing Choice Voucher (HCV) 101 for New PHAs/HUD staff - develop an online training tool for public housing authority (PHA) and HUD staff on the HCV program, including Project-Based Voucher (PBV). This would be an "HCV 101." There would be a testing and certification component.</t>
  </si>
  <si>
    <t>APP-P-2025-026</t>
  </si>
  <si>
    <t>Public Housing and Voucher Programs (PHVP) Project-Based Voucher (PBV) Program Cap Tool - develop a new process for public housing authority (PHA) to notify HUD of their intent to project base vouchers subsequent to rule changes from Housing Opportunities Through Modernization Act (HOTMA) and the release of the Housing Assistance Payments (HAP) Contract Data Collection Tool</t>
  </si>
  <si>
    <t>APP-P-2025-027</t>
  </si>
  <si>
    <t>Public Housing and Voucher Programs (PHVP) Conflict of Interest Capacity Building - develop curriculum for field offices and public housing authority (PHA) that includes conflict of interest requirements related to Housing Assistance Payments (HAP), hiring, board structure, and contracts.</t>
  </si>
  <si>
    <t>APP-P-2025-028</t>
  </si>
  <si>
    <t>Public Housing and Voucher Programs (PHVP) Project-Based Voucher (PBV) Compliance Learning Pathway - develop multi-module online training program for all aspects of PBV development and management for the benefit of public housing authority (PHA) and field office staff.</t>
  </si>
  <si>
    <t>APP-P-2025-029</t>
  </si>
  <si>
    <t>Real Estate Assessment Center (REAC) National Standards for the Physical Inspection of Real Estate (NSPIRE) Program Management and Standards Development - plan and execute other program management tasks not covered under other contracts, such as the development and  publication of project plans and program support documentation.
Current Contract #86614820F00007</t>
  </si>
  <si>
    <t>APP-P-2025-030</t>
  </si>
  <si>
    <t>Real Estate Assessment Center (REAC) Technical Assistance Center - operate a multi- channel Technical Assistance Center (TAC) that fields 150,000 mission critical service annually providing technical assistance for external and internal customers for Public and Indian Housing (PIH) &amp; Housing.
Current Contract #86614820C00003</t>
  </si>
  <si>
    <t>APP-S-2025-003</t>
  </si>
  <si>
    <t>Digital Email Subscription services
Current Contract #86615120C00001</t>
  </si>
  <si>
    <t>Fiscal Year</t>
  </si>
  <si>
    <t>Office of Field Policy and Management</t>
  </si>
  <si>
    <t>Other Electric Power Generation</t>
  </si>
  <si>
    <t>Commercial and Institutional Building Construction</t>
  </si>
  <si>
    <t>All Other Specialty Trade Contractors</t>
  </si>
  <si>
    <t>Metal Coating, Engraving (except Jewelry and Silverware), and Allied Services to Manufacturers</t>
  </si>
  <si>
    <t>Electronic Computer Manufacturing</t>
  </si>
  <si>
    <t>Office Furniture (Except Wood) Manufacturing</t>
  </si>
  <si>
    <t>337214</t>
  </si>
  <si>
    <t>Computer and Computer Peripheral Equipment and
Software Merchant Wholesalers</t>
  </si>
  <si>
    <t>423430</t>
  </si>
  <si>
    <t>Charter Bus Industry</t>
  </si>
  <si>
    <t>Periodical Publishers</t>
  </si>
  <si>
    <t>513120</t>
  </si>
  <si>
    <t>Software Publishers</t>
  </si>
  <si>
    <t>Motion Picture and Video Production</t>
  </si>
  <si>
    <t>Telecommunications Resellers</t>
  </si>
  <si>
    <t>517111</t>
  </si>
  <si>
    <t>Wired Telecommunications Carriers</t>
  </si>
  <si>
    <t>519210</t>
  </si>
  <si>
    <t>Libraries and Archives</t>
  </si>
  <si>
    <t>Portfolio Management and Investment Advice</t>
  </si>
  <si>
    <t>Offices of Real Estate Appraisers</t>
  </si>
  <si>
    <t>Other Activities Related to Real Estate</t>
  </si>
  <si>
    <t>Other Accounting Services</t>
  </si>
  <si>
    <t>Architectural Services</t>
  </si>
  <si>
    <t>Engineering Services</t>
  </si>
  <si>
    <t>Building Inspection Services</t>
  </si>
  <si>
    <t>Geophysical Surveying and Mapping Services</t>
  </si>
  <si>
    <t>Computer Facilities Management Services</t>
  </si>
  <si>
    <t>Research and Development in the Physical, Engineering, and Life Sciences (except Nanotechnology and Biotechnology)</t>
  </si>
  <si>
    <t>Credit Bureaus</t>
  </si>
  <si>
    <t>Security Guards and Patrol Services</t>
  </si>
  <si>
    <t>Janitorial Services</t>
  </si>
  <si>
    <t>All Other Support Services</t>
  </si>
  <si>
    <t>Computer Training</t>
  </si>
  <si>
    <t>Hotels (except Casino Hotels) and Motels</t>
  </si>
  <si>
    <t>Professional Organizations</t>
  </si>
  <si>
    <t>Used Household and Office Goods Moving</t>
  </si>
  <si>
    <t>484210</t>
  </si>
  <si>
    <t>Chief Financial Officer</t>
  </si>
  <si>
    <t>Henri.P.Goodson@hud.gov</t>
  </si>
  <si>
    <t>Angela.M.Hughes@hud.gov</t>
  </si>
  <si>
    <t>Valentina.A.Zabrovskaya@hud.gov</t>
  </si>
  <si>
    <t>Donald.C.Hanible@hud.gov</t>
  </si>
  <si>
    <t>Thurmond.E.Long@hud.gov</t>
  </si>
  <si>
    <t>Action Closed-Pending Award</t>
  </si>
  <si>
    <t>Housing Counseling Programs provides mandatory mortgage analysis tools for home equity conversion mortgage (HECM) housing counselors. HECM Loan Comparison and Underwriting Tool (HLCUT). 
Current Contract #86615619P00006.</t>
  </si>
  <si>
    <t>Home Equity Conversion Mortgages (HECM) Exam Support Services and Registration - To provide mandated website registration and exams to certify counselors as HECM counseling providers.
Current contract #86615621D00005</t>
  </si>
  <si>
    <t>To obtain support to continue annual reviews of mortgages to make sure they are in compliance w/HUD's program procedures, mitigate potential risks, and protect the Federal Housing Administration (FHA) Insurance Fund.
Current Contract #86615719F00003</t>
  </si>
  <si>
    <t>Southwest Disaster Inspections</t>
  </si>
  <si>
    <t>Southeast Disaster Inspections</t>
  </si>
  <si>
    <t>West Disaster Inspections</t>
  </si>
  <si>
    <t>Northeast Disaster Inspections</t>
  </si>
  <si>
    <t>Midwest Disaster Inspections</t>
  </si>
  <si>
    <t>Consolidated rent comparability studies for all Multifamily Regions - Funds to be used by all Multifamily Regions to issue multiple Simplified Acquisition Procedures (SAP) solicitations for Rent Comparability Studies that are not to be obtained by each region's task order for various reasons.</t>
  </si>
  <si>
    <t>Mortgage Bankers Association (MBA) Federal Housing Administration (FHA) Underwriting Training - A 6-month training to prepare FHA multifamily lenders and HUD multifamily staff to underwrite FHA-insured multifamily mortgages under Multifamily Accelerated Processing (MAP) guidelines.
Current Contract #86615723P00006</t>
  </si>
  <si>
    <t>Zenola.I.Holman-Malone@hud.gov</t>
  </si>
  <si>
    <t>Olamide.O.Adewole@hud.gov</t>
  </si>
  <si>
    <t>Kim.D.Cox@hud.gov</t>
  </si>
  <si>
    <t>Qiana.K.Roberts@hud.gov</t>
  </si>
  <si>
    <t>Andrea.P.Phillip@hud.gov</t>
  </si>
  <si>
    <t>Quinton.L.Pittman@hud.gov</t>
  </si>
  <si>
    <t>Michael.A.Moment@hud.gov</t>
  </si>
  <si>
    <t>Carol.Leslie@hud.gov</t>
  </si>
  <si>
    <t>Donna.Crowley@hud.gov</t>
  </si>
  <si>
    <t>Terry.D.Lewis@hud.gov</t>
  </si>
  <si>
    <t>Glay.E.Glay@hud.gov</t>
  </si>
  <si>
    <t>James.H.Utterback@hud.gov</t>
  </si>
  <si>
    <t>Monica.S.Baptista@hud.gov</t>
  </si>
  <si>
    <t>Natalicia.Garcia@hud.gov</t>
  </si>
  <si>
    <t>Deborah.K.Thompson@hud.gov</t>
  </si>
  <si>
    <t>Ayanna.S.Gibson@hud.gov</t>
  </si>
  <si>
    <t>Michael.T.Demarco@hud.gov</t>
  </si>
  <si>
    <t>Roscoe.D.Brunson@hud.gov</t>
  </si>
  <si>
    <t>Elizabeth.M.Cahall@hud.gov</t>
  </si>
  <si>
    <t>Elisha.M.Smith@hud.gov</t>
  </si>
  <si>
    <t>Keith.R.Clay@hud.gov</t>
  </si>
  <si>
    <t>Peter.W.Webb@hud.gov</t>
  </si>
  <si>
    <t>Claude.C.Dickson@hud.gov</t>
  </si>
  <si>
    <t>Jonelle.T.Fearon@hud.gov</t>
  </si>
  <si>
    <t>Bryan.Mclain@hud.gov</t>
  </si>
  <si>
    <t>Sharon.L.Riley@hud.gov</t>
  </si>
  <si>
    <t>11-27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</si>
</sst>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d\,\ yyyy;@"/>
    <numFmt numFmtId="165" formatCode="0.0%"/>
    <numFmt numFmtId="166" formatCode="[$-409]mmmm\-yy;@"/>
  </numFmts>
  <fonts count="51" x14ac:knownFonts="1">
    <font>
      <sz val="11"/>
      <color rgb="FF000000"/>
      <name val="Calibri"/>
    </font>
    <font>
      <b/>
      <sz val="10"/>
      <color rgb="FF000000"/>
      <name val="Times New Roman"/>
      <family val="1"/>
    </font>
    <font>
      <b/>
      <sz val="18"/>
      <color rgb="FF000000"/>
      <name val="Times New Roman"/>
      <family val="1"/>
    </font>
    <font>
      <b/>
      <sz val="24"/>
      <color rgb="FF000000"/>
      <name val="Times New Roman"/>
      <family val="1"/>
    </font>
    <font>
      <b/>
      <sz val="16"/>
      <color rgb="FF000000"/>
      <name val="Times New Roman"/>
      <family val="1"/>
    </font>
    <font>
      <sz val="12"/>
      <color rgb="FF000000"/>
      <name val="Times New Roman"/>
      <family val="1"/>
    </font>
    <font>
      <u/>
      <sz val="12"/>
      <color rgb="FF000000"/>
      <name val="Times New Roman"/>
      <family val="1"/>
    </font>
    <font>
      <sz val="11.5"/>
      <color rgb="FF000000"/>
      <name val="Calibri"/>
      <family val="2"/>
    </font>
    <font>
      <b/>
      <sz val="11"/>
      <color rgb="FF000000"/>
      <name val="Calibri"/>
      <family val="2"/>
    </font>
    <font>
      <b/>
      <sz val="12"/>
      <color rgb="FF000000"/>
      <name val="Times New Roman"/>
      <family val="1"/>
    </font>
    <font>
      <sz val="11"/>
      <color rgb="FF000000"/>
      <name val="Times New Roman"/>
      <family val="1"/>
    </font>
    <font>
      <b/>
      <sz val="11"/>
      <color rgb="FF000000"/>
      <name val="Times New Roman"/>
      <family val="1"/>
    </font>
    <font>
      <u/>
      <sz val="11"/>
      <color rgb="FF000000"/>
      <name val="Times New Roman"/>
      <family val="1"/>
    </font>
    <font>
      <b/>
      <sz val="10"/>
      <color rgb="FF000000"/>
      <name val="Calibri"/>
      <family val="2"/>
    </font>
    <font>
      <sz val="10"/>
      <color rgb="FF000000"/>
      <name val="Times New Roman"/>
      <family val="1"/>
    </font>
    <font>
      <sz val="11"/>
      <color rgb="FF000000"/>
      <name val="Calibri"/>
      <family val="2"/>
    </font>
    <font>
      <b/>
      <sz val="18"/>
      <name val="Times New Roman"/>
      <family val="1"/>
    </font>
    <font>
      <b/>
      <sz val="16"/>
      <name val="Times New Roman"/>
      <family val="1"/>
    </font>
    <font>
      <sz val="12"/>
      <name val="Times New Roman"/>
      <family val="1"/>
    </font>
    <font>
      <u/>
      <sz val="12"/>
      <color rgb="FF0000FF"/>
      <name val="Times New Roman"/>
      <family val="1"/>
    </font>
    <font>
      <u/>
      <sz val="12"/>
      <name val="Times New Roman"/>
      <family val="1"/>
    </font>
    <font>
      <sz val="11.5"/>
      <name val="Calibri"/>
      <family val="2"/>
    </font>
    <font>
      <b/>
      <sz val="12"/>
      <name val="Times New Roman"/>
      <family val="1"/>
    </font>
    <font>
      <sz val="11"/>
      <name val="Times New Roman"/>
      <family val="1"/>
    </font>
    <font>
      <b/>
      <sz val="11"/>
      <name val="Times New Roman"/>
      <family val="1"/>
    </font>
    <font>
      <sz val="11"/>
      <name val="Calibri"/>
      <family val="2"/>
    </font>
    <font>
      <u/>
      <sz val="11"/>
      <color theme="10"/>
      <name val="Calibri"/>
      <family val="2"/>
    </font>
    <font>
      <sz val="18"/>
      <color rgb="FF000000"/>
      <name val="Calibri"/>
      <family val="2"/>
    </font>
    <font>
      <sz val="16"/>
      <color rgb="FF000000"/>
      <name val="Calibri"/>
      <family val="2"/>
    </font>
    <font>
      <b/>
      <sz val="24"/>
      <color rgb="FF1F497D"/>
      <name val="Times New Roman"/>
      <family val="1"/>
    </font>
    <font>
      <sz val="10"/>
      <color rgb="FF000000"/>
      <name val="Calibri"/>
      <family val="2"/>
    </font>
    <font>
      <sz val="10"/>
      <name val="Arial"/>
      <family val="2"/>
    </font>
    <font>
      <sz val="8"/>
      <color rgb="FF000000"/>
      <name val="Times New Roman"/>
      <family val="1"/>
    </font>
    <font>
      <sz val="11.5"/>
      <color rgb="FF000000"/>
      <name val="Times New Roman"/>
      <family val="1"/>
    </font>
    <font>
      <u/>
      <sz val="12"/>
      <color rgb="FF1318F5"/>
      <name val="Times New Roman"/>
      <family val="1"/>
    </font>
    <font>
      <u/>
      <sz val="12"/>
      <color theme="10"/>
      <name val="Times New Roman"/>
      <family val="1"/>
    </font>
    <font>
      <u/>
      <sz val="10"/>
      <color rgb="FF1318F5"/>
      <name val="Times New Roman"/>
      <family val="1"/>
    </font>
    <font>
      <b/>
      <u/>
      <sz val="12"/>
      <color rgb="FF000000"/>
      <name val="Times New Roman"/>
      <family val="1"/>
    </font>
    <font>
      <sz val="12"/>
      <color rgb="FF000000"/>
      <name val="Calibri"/>
      <family val="2"/>
    </font>
    <font>
      <sz val="11"/>
      <color rgb="FF0070C0"/>
      <name val="Times New Roman"/>
      <family val="1"/>
    </font>
    <font>
      <sz val="8.5"/>
      <color rgb="FF000000"/>
      <name val="Times New Roman"/>
      <family val="1"/>
    </font>
    <font>
      <b/>
      <u/>
      <sz val="12"/>
      <color rgb="FF1318F5"/>
      <name val="Times New Roman"/>
      <family val="1"/>
    </font>
    <font>
      <b/>
      <u/>
      <sz val="10.5"/>
      <color rgb="FF000000"/>
      <name val="Times New Roman"/>
      <family val="1"/>
    </font>
    <font>
      <b/>
      <u/>
      <sz val="10.5"/>
      <name val="Times New Roman"/>
      <family val="1"/>
    </font>
    <font>
      <sz val="10.5"/>
      <color rgb="FF000000"/>
      <name val="Calibri"/>
      <family val="2"/>
    </font>
    <font>
      <b/>
      <sz val="10.5"/>
      <color rgb="FF000000"/>
      <name val="Times New Roman"/>
      <family val="1"/>
    </font>
    <font>
      <b/>
      <sz val="10.5"/>
      <name val="Times New Roman"/>
      <family val="1"/>
    </font>
    <font>
      <sz val="10.5"/>
      <name val="Times New Roman"/>
      <family val="1"/>
    </font>
    <font>
      <sz val="10.5"/>
      <color rgb="FF000000"/>
      <name val="Times New Roman"/>
      <family val="1"/>
    </font>
    <font>
      <b/>
      <u/>
      <sz val="11"/>
      <color rgb="FF1318F5"/>
      <name val="Times New Roman"/>
      <family val="1"/>
    </font>
    <font>
      <sz val="11"/>
      <color rgb="FFFF0000"/>
      <name val="Times New Roman"/>
      <family val="1"/>
    </font>
  </fonts>
  <fills count="10">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1"/>
        <bgColor indexed="64"/>
      </patternFill>
    </fill>
    <fill>
      <patternFill patternType="solid">
        <fgColor theme="9"/>
        <bgColor indexed="64"/>
      </patternFill>
    </fill>
    <fill>
      <patternFill patternType="solid">
        <fgColor rgb="FFFFFF0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70AD47"/>
        <bgColor rgb="FF000000"/>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0" fontId="26" fillId="0" borderId="0" applyNumberFormat="0" applyFill="0" applyBorder="0" applyAlignment="0" applyProtection="0"/>
    <xf numFmtId="9" fontId="15" fillId="0" borderId="0" applyFont="0" applyFill="0" applyBorder="0" applyAlignment="0" applyProtection="0"/>
    <xf numFmtId="0" fontId="15" fillId="0" borderId="0"/>
    <xf numFmtId="0" fontId="31" fillId="0" borderId="0"/>
    <xf numFmtId="9" fontId="31" fillId="0" borderId="0" applyFont="0" applyFill="0" applyBorder="0" applyAlignment="0" applyProtection="0"/>
  </cellStyleXfs>
  <cellXfs count="179">
    <xf numFmtId="0" fontId="0" fillId="0" borderId="0" xfId="0"/>
    <xf numFmtId="0" fontId="13" fillId="0" borderId="0" xfId="0" applyFont="1" applyAlignment="1">
      <alignment horizontal="left" vertical="top"/>
    </xf>
    <xf numFmtId="0" fontId="10" fillId="0" borderId="0" xfId="0" applyFont="1" applyAlignment="1">
      <alignment horizontal="left" vertical="top"/>
    </xf>
    <xf numFmtId="0" fontId="8" fillId="0" borderId="0" xfId="0" applyFont="1"/>
    <xf numFmtId="0" fontId="7" fillId="0" borderId="0" xfId="0" applyFont="1"/>
    <xf numFmtId="0" fontId="21" fillId="0" borderId="0" xfId="0" applyFont="1" applyAlignment="1">
      <alignment horizontal="left" vertical="top"/>
    </xf>
    <xf numFmtId="0" fontId="25" fillId="0" borderId="0" xfId="0" applyFont="1" applyAlignment="1">
      <alignment horizontal="left" vertical="top"/>
    </xf>
    <xf numFmtId="0" fontId="0" fillId="0" borderId="0" xfId="0" applyAlignment="1">
      <alignment horizontal="left"/>
    </xf>
    <xf numFmtId="0" fontId="8" fillId="0" borderId="0" xfId="3" applyFont="1"/>
    <xf numFmtId="0" fontId="0" fillId="0" borderId="0" xfId="0" applyAlignment="1">
      <alignment vertical="top"/>
    </xf>
    <xf numFmtId="0" fontId="28" fillId="0" borderId="0" xfId="0" applyFont="1"/>
    <xf numFmtId="0" fontId="8" fillId="0" borderId="0" xfId="3" applyFont="1" applyAlignment="1">
      <alignment horizontal="left"/>
    </xf>
    <xf numFmtId="0" fontId="10" fillId="0" borderId="0" xfId="0" applyFont="1"/>
    <xf numFmtId="0" fontId="33" fillId="0" borderId="0" xfId="0" applyFont="1" applyAlignment="1">
      <alignment horizontal="left" vertical="top"/>
    </xf>
    <xf numFmtId="0" fontId="12" fillId="0" borderId="0" xfId="0" applyFont="1" applyAlignment="1">
      <alignment horizontal="left" vertical="top"/>
    </xf>
    <xf numFmtId="0" fontId="4" fillId="0" borderId="0" xfId="0" applyFont="1" applyAlignment="1">
      <alignment vertical="center"/>
    </xf>
    <xf numFmtId="0" fontId="4" fillId="5" borderId="1" xfId="0" applyFont="1" applyFill="1" applyBorder="1" applyAlignment="1">
      <alignment horizontal="center" vertical="center"/>
    </xf>
    <xf numFmtId="0" fontId="3" fillId="0" borderId="0" xfId="0" applyFont="1" applyAlignment="1">
      <alignment horizontal="left" vertical="top"/>
    </xf>
    <xf numFmtId="0" fontId="27" fillId="0" borderId="0" xfId="0" applyFont="1"/>
    <xf numFmtId="0" fontId="2" fillId="0" borderId="0" xfId="0" applyFont="1" applyAlignment="1">
      <alignment horizontal="left" vertical="top"/>
    </xf>
    <xf numFmtId="0" fontId="25" fillId="0" borderId="0" xfId="0" applyFont="1"/>
    <xf numFmtId="0" fontId="5" fillId="0" borderId="0" xfId="0" applyFont="1" applyAlignment="1">
      <alignment vertical="top" wrapText="1"/>
    </xf>
    <xf numFmtId="0" fontId="5" fillId="0" borderId="0" xfId="0" applyFont="1"/>
    <xf numFmtId="0" fontId="5" fillId="0" borderId="0" xfId="0" applyFont="1" applyAlignment="1">
      <alignment horizontal="center"/>
    </xf>
    <xf numFmtId="0" fontId="22" fillId="0" borderId="0" xfId="0" applyFont="1" applyAlignment="1">
      <alignment horizontal="center" vertical="top"/>
    </xf>
    <xf numFmtId="0" fontId="6" fillId="0" borderId="0" xfId="0" applyFont="1" applyAlignment="1">
      <alignment horizontal="center" vertical="top"/>
    </xf>
    <xf numFmtId="0" fontId="18" fillId="0" borderId="0" xfId="0" applyFont="1" applyAlignment="1">
      <alignment horizontal="center" vertical="top"/>
    </xf>
    <xf numFmtId="0" fontId="9" fillId="0" borderId="0" xfId="0" applyFont="1" applyAlignment="1">
      <alignment horizontal="center"/>
    </xf>
    <xf numFmtId="0" fontId="34" fillId="0" borderId="0" xfId="1" applyFont="1" applyBorder="1" applyAlignment="1">
      <alignment horizontal="center"/>
    </xf>
    <xf numFmtId="0" fontId="35" fillId="0" borderId="0" xfId="1" applyFont="1" applyBorder="1" applyAlignment="1">
      <alignment horizontal="center"/>
    </xf>
    <xf numFmtId="0" fontId="38" fillId="0" borderId="0" xfId="0" applyFont="1"/>
    <xf numFmtId="0" fontId="5" fillId="3" borderId="0" xfId="0" applyFont="1" applyFill="1"/>
    <xf numFmtId="0" fontId="30" fillId="0" borderId="0" xfId="0" applyFont="1"/>
    <xf numFmtId="0" fontId="10" fillId="0" borderId="0" xfId="0" applyFont="1" applyAlignment="1">
      <alignment horizontal="left" vertical="center" wrapText="1"/>
    </xf>
    <xf numFmtId="0" fontId="10" fillId="0" borderId="0" xfId="0" applyFont="1" applyAlignment="1">
      <alignment horizontal="center" vertical="center"/>
    </xf>
    <xf numFmtId="0" fontId="24" fillId="2" borderId="0" xfId="0" applyFont="1" applyFill="1" applyAlignment="1">
      <alignment horizontal="center" vertical="center" wrapText="1"/>
    </xf>
    <xf numFmtId="0" fontId="18" fillId="3" borderId="0" xfId="1" applyFont="1" applyFill="1" applyAlignment="1">
      <alignment horizontal="left"/>
    </xf>
    <xf numFmtId="49" fontId="5" fillId="3" borderId="0" xfId="0" applyNumberFormat="1" applyFont="1" applyFill="1"/>
    <xf numFmtId="0" fontId="23" fillId="0" borderId="0" xfId="0" applyFont="1" applyAlignment="1">
      <alignment horizontal="left" vertical="center" wrapText="1"/>
    </xf>
    <xf numFmtId="0" fontId="0" fillId="0" borderId="0" xfId="0" applyAlignment="1">
      <alignment horizontal="center" vertical="top"/>
    </xf>
    <xf numFmtId="1" fontId="0" fillId="0" borderId="0" xfId="0" applyNumberFormat="1"/>
    <xf numFmtId="0" fontId="0" fillId="0" borderId="0" xfId="0" applyAlignment="1">
      <alignment horizontal="left" wrapText="1"/>
    </xf>
    <xf numFmtId="0" fontId="0" fillId="0" borderId="0" xfId="0" applyAlignment="1">
      <alignment wrapText="1"/>
    </xf>
    <xf numFmtId="0" fontId="24" fillId="0" borderId="0" xfId="3" applyFont="1" applyAlignment="1">
      <alignment horizontal="left" vertical="center" wrapText="1"/>
    </xf>
    <xf numFmtId="0" fontId="24" fillId="0" borderId="0" xfId="3" applyFont="1" applyAlignment="1">
      <alignment horizontal="center" vertical="center" wrapText="1"/>
    </xf>
    <xf numFmtId="0" fontId="24" fillId="0" borderId="0" xfId="3" applyFont="1" applyAlignment="1">
      <alignment horizontal="center" vertical="center"/>
    </xf>
    <xf numFmtId="0" fontId="24" fillId="0" borderId="0" xfId="0" applyFont="1" applyAlignment="1">
      <alignment horizontal="center" vertical="center"/>
    </xf>
    <xf numFmtId="49" fontId="10" fillId="0" borderId="0" xfId="0" applyNumberFormat="1" applyFont="1" applyAlignment="1">
      <alignment horizontal="left" vertical="center"/>
    </xf>
    <xf numFmtId="1" fontId="10" fillId="0" borderId="0" xfId="0" applyNumberFormat="1" applyFont="1" applyAlignment="1">
      <alignment horizontal="center" vertical="center" wrapText="1"/>
    </xf>
    <xf numFmtId="1" fontId="10" fillId="0" borderId="0" xfId="0" applyNumberFormat="1" applyFont="1" applyAlignment="1">
      <alignment horizontal="right" vertical="center"/>
    </xf>
    <xf numFmtId="165" fontId="10" fillId="0" borderId="0" xfId="2" applyNumberFormat="1" applyFont="1" applyBorder="1" applyAlignment="1">
      <alignment horizontal="right" vertical="center"/>
    </xf>
    <xf numFmtId="1" fontId="23" fillId="0" borderId="0" xfId="0" applyNumberFormat="1" applyFont="1" applyAlignment="1">
      <alignment horizontal="right" vertical="center"/>
    </xf>
    <xf numFmtId="0" fontId="10" fillId="0" borderId="1" xfId="0" applyFont="1" applyBorder="1"/>
    <xf numFmtId="9" fontId="10" fillId="0" borderId="1" xfId="2" applyFont="1" applyBorder="1" applyAlignment="1">
      <alignment horizontal="center" vertical="center"/>
    </xf>
    <xf numFmtId="0" fontId="10" fillId="4" borderId="1" xfId="0" applyFont="1" applyFill="1" applyBorder="1" applyAlignment="1">
      <alignment horizontal="center" vertical="center"/>
    </xf>
    <xf numFmtId="0" fontId="10" fillId="0" borderId="1" xfId="0" applyFont="1" applyBorder="1" applyAlignment="1">
      <alignment wrapText="1"/>
    </xf>
    <xf numFmtId="0" fontId="10" fillId="0" borderId="1" xfId="0" applyFont="1" applyBorder="1" applyAlignment="1">
      <alignment horizontal="right" wrapText="1"/>
    </xf>
    <xf numFmtId="0" fontId="10" fillId="4" borderId="1" xfId="0" applyFont="1" applyFill="1" applyBorder="1"/>
    <xf numFmtId="9" fontId="10" fillId="0" borderId="1" xfId="2" applyFont="1" applyBorder="1" applyAlignment="1">
      <alignment horizontal="center"/>
    </xf>
    <xf numFmtId="0" fontId="23" fillId="0" borderId="0" xfId="3" applyFont="1" applyAlignment="1">
      <alignment horizontal="left" vertical="center" wrapText="1"/>
    </xf>
    <xf numFmtId="0" fontId="23" fillId="0" borderId="0" xfId="3" applyFont="1" applyAlignment="1">
      <alignment horizontal="center" vertical="center"/>
    </xf>
    <xf numFmtId="0" fontId="10" fillId="0" borderId="0" xfId="0" applyFont="1" applyAlignment="1">
      <alignment horizontal="left" vertical="center"/>
    </xf>
    <xf numFmtId="0" fontId="23" fillId="0" borderId="0" xfId="0" applyFont="1" applyAlignment="1">
      <alignment horizontal="left" vertical="center"/>
    </xf>
    <xf numFmtId="1" fontId="10" fillId="0" borderId="0" xfId="0" applyNumberFormat="1" applyFont="1" applyAlignment="1">
      <alignment horizontal="center" vertical="center"/>
    </xf>
    <xf numFmtId="0" fontId="24" fillId="0" borderId="2" xfId="0" applyFont="1" applyBorder="1" applyAlignment="1">
      <alignment horizontal="right" wrapText="1"/>
    </xf>
    <xf numFmtId="0" fontId="23" fillId="0" borderId="2" xfId="0" applyFont="1" applyBorder="1" applyAlignment="1">
      <alignment horizontal="center" vertical="center"/>
    </xf>
    <xf numFmtId="0" fontId="24" fillId="0" borderId="2" xfId="0" applyFont="1" applyBorder="1" applyAlignment="1">
      <alignment horizontal="center" vertical="center"/>
    </xf>
    <xf numFmtId="1" fontId="11" fillId="0" borderId="2" xfId="0" applyNumberFormat="1" applyFont="1" applyBorder="1" applyAlignment="1">
      <alignment horizontal="center" vertical="center" wrapText="1"/>
    </xf>
    <xf numFmtId="1" fontId="11" fillId="0" borderId="2" xfId="0" applyNumberFormat="1" applyFont="1" applyBorder="1" applyAlignment="1">
      <alignment horizontal="right" vertical="center"/>
    </xf>
    <xf numFmtId="165" fontId="11" fillId="0" borderId="2" xfId="2" applyNumberFormat="1" applyFont="1" applyBorder="1" applyAlignment="1">
      <alignment horizontal="right" vertical="center"/>
    </xf>
    <xf numFmtId="0" fontId="10" fillId="0" borderId="0" xfId="0" applyFont="1" applyAlignment="1">
      <alignment horizontal="center" vertical="center" wrapText="1"/>
    </xf>
    <xf numFmtId="0" fontId="10" fillId="0" borderId="0" xfId="0" applyFont="1" applyAlignment="1">
      <alignment vertical="top"/>
    </xf>
    <xf numFmtId="0" fontId="32" fillId="0" borderId="0" xfId="0" applyFont="1" applyAlignment="1">
      <alignment vertical="top"/>
    </xf>
    <xf numFmtId="0" fontId="10" fillId="0" borderId="0" xfId="0" applyFont="1" applyAlignment="1">
      <alignment horizontal="left" vertical="top" wrapText="1"/>
    </xf>
    <xf numFmtId="0" fontId="40" fillId="0" borderId="0" xfId="0" applyFont="1" applyAlignment="1">
      <alignment horizontal="left" vertical="top" wrapText="1"/>
    </xf>
    <xf numFmtId="0" fontId="11" fillId="0" borderId="0" xfId="0" applyFont="1" applyAlignment="1">
      <alignment horizontal="left" vertical="center"/>
    </xf>
    <xf numFmtId="0" fontId="14" fillId="0" borderId="0" xfId="0" applyFont="1" applyAlignment="1">
      <alignment horizontal="center" vertical="center" wrapText="1"/>
    </xf>
    <xf numFmtId="0" fontId="5" fillId="0" borderId="0" xfId="0" applyFont="1" applyAlignment="1">
      <alignment horizontal="left" vertical="top"/>
    </xf>
    <xf numFmtId="0" fontId="1" fillId="0" borderId="0" xfId="0" applyFont="1" applyAlignment="1">
      <alignment horizontal="left" vertical="top"/>
    </xf>
    <xf numFmtId="0" fontId="42" fillId="0" borderId="0" xfId="0" applyFont="1" applyAlignment="1">
      <alignment horizontal="left" vertical="top"/>
    </xf>
    <xf numFmtId="0" fontId="44" fillId="0" borderId="0" xfId="0" applyFont="1"/>
    <xf numFmtId="0" fontId="48" fillId="0" borderId="0" xfId="0" applyFont="1" applyAlignment="1">
      <alignment horizontal="left" vertical="top"/>
    </xf>
    <xf numFmtId="165" fontId="10" fillId="0" borderId="0" xfId="2" applyNumberFormat="1" applyFont="1" applyFill="1" applyBorder="1" applyAlignment="1">
      <alignment horizontal="right" vertical="center"/>
    </xf>
    <xf numFmtId="0" fontId="4" fillId="7" borderId="0" xfId="0" applyFont="1" applyFill="1" applyAlignment="1">
      <alignment horizontal="left" vertical="top"/>
    </xf>
    <xf numFmtId="0" fontId="34" fillId="0" borderId="0" xfId="1" applyFont="1" applyBorder="1"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wrapText="1"/>
    </xf>
    <xf numFmtId="0" fontId="9" fillId="0" borderId="0" xfId="0" applyFont="1" applyAlignment="1">
      <alignment horizontal="center" vertical="top"/>
    </xf>
    <xf numFmtId="0" fontId="18" fillId="0" borderId="0" xfId="0" applyFont="1" applyAlignment="1">
      <alignment horizontal="left" vertical="top"/>
    </xf>
    <xf numFmtId="0" fontId="45" fillId="0" borderId="0" xfId="0" applyFont="1" applyAlignment="1">
      <alignment horizontal="left" vertical="top" wrapText="1"/>
    </xf>
    <xf numFmtId="0" fontId="45" fillId="0" borderId="0" xfId="0" applyFont="1" applyAlignment="1">
      <alignment horizontal="left" vertical="top"/>
    </xf>
    <xf numFmtId="0" fontId="10" fillId="0" borderId="1" xfId="0" applyFont="1" applyBorder="1" applyAlignment="1">
      <alignment horizontal="center" vertical="center"/>
    </xf>
    <xf numFmtId="0" fontId="23" fillId="0" borderId="0" xfId="3" applyFont="1" applyAlignment="1">
      <alignment wrapText="1"/>
    </xf>
    <xf numFmtId="0" fontId="4" fillId="5" borderId="1" xfId="0" applyFont="1" applyFill="1" applyBorder="1" applyAlignment="1">
      <alignment horizontal="center" vertical="top"/>
    </xf>
    <xf numFmtId="0" fontId="34" fillId="0" borderId="0" xfId="1" applyFont="1" applyAlignment="1">
      <alignment horizontal="center" vertical="top"/>
    </xf>
    <xf numFmtId="0" fontId="4" fillId="3" borderId="0" xfId="0" applyFont="1" applyFill="1" applyAlignment="1">
      <alignment horizontal="center" vertical="top" wrapText="1"/>
    </xf>
    <xf numFmtId="0" fontId="39" fillId="0" borderId="0" xfId="0" applyFont="1" applyAlignment="1">
      <alignment horizontal="center" vertical="center" wrapText="1"/>
    </xf>
    <xf numFmtId="0" fontId="4" fillId="3" borderId="2" xfId="0" applyFont="1" applyFill="1" applyBorder="1" applyAlignment="1">
      <alignment horizontal="center" vertical="top" wrapText="1"/>
    </xf>
    <xf numFmtId="0" fontId="4" fillId="7" borderId="0" xfId="0" applyFont="1" applyFill="1" applyAlignment="1">
      <alignment horizontal="center" vertical="top" wrapText="1"/>
    </xf>
    <xf numFmtId="49" fontId="14" fillId="0" borderId="0" xfId="0" applyNumberFormat="1" applyFont="1" applyAlignment="1">
      <alignment horizontal="center" vertical="center" wrapText="1"/>
    </xf>
    <xf numFmtId="0" fontId="4" fillId="6" borderId="0" xfId="0" applyFont="1" applyFill="1" applyAlignment="1">
      <alignment horizontal="center" vertical="center" wrapText="1"/>
    </xf>
    <xf numFmtId="0" fontId="4" fillId="0" borderId="0" xfId="0" applyFont="1" applyAlignment="1">
      <alignment horizontal="center" vertical="center" wrapText="1"/>
    </xf>
    <xf numFmtId="49" fontId="4" fillId="7" borderId="0" xfId="0" applyNumberFormat="1" applyFont="1" applyFill="1" applyAlignment="1">
      <alignment horizontal="center" vertical="top" wrapText="1"/>
    </xf>
    <xf numFmtId="0" fontId="4" fillId="8" borderId="0" xfId="0" applyFont="1" applyFill="1" applyAlignment="1">
      <alignment horizontal="left" vertical="center" wrapText="1"/>
    </xf>
    <xf numFmtId="0" fontId="15" fillId="0" borderId="0" xfId="0" applyFont="1" applyAlignment="1">
      <alignment horizontal="center" vertical="top" wrapText="1"/>
    </xf>
    <xf numFmtId="0" fontId="34" fillId="0" borderId="0" xfId="1" applyFont="1" applyBorder="1" applyAlignment="1">
      <alignment horizontal="center" vertical="top"/>
    </xf>
    <xf numFmtId="0" fontId="14" fillId="0" borderId="0" xfId="0" applyFont="1" applyAlignment="1">
      <alignment wrapText="1"/>
    </xf>
    <xf numFmtId="0" fontId="11" fillId="9" borderId="6" xfId="0" applyFont="1" applyFill="1" applyBorder="1" applyAlignment="1">
      <alignment horizontal="center" vertical="center"/>
    </xf>
    <xf numFmtId="0" fontId="11" fillId="9" borderId="7" xfId="0" applyFont="1" applyFill="1" applyBorder="1" applyAlignment="1">
      <alignment horizontal="center" vertical="center"/>
    </xf>
    <xf numFmtId="0" fontId="11" fillId="9" borderId="8" xfId="0" applyFont="1" applyFill="1" applyBorder="1" applyAlignment="1">
      <alignment horizontal="center" vertical="center"/>
    </xf>
    <xf numFmtId="0" fontId="2" fillId="0" borderId="0" xfId="0" applyFont="1" applyAlignment="1">
      <alignment horizontal="center" vertical="top"/>
    </xf>
    <xf numFmtId="0" fontId="5" fillId="0" borderId="0" xfId="0" applyFont="1" applyAlignment="1">
      <alignment horizontal="center" vertical="top"/>
    </xf>
    <xf numFmtId="0" fontId="29" fillId="0" borderId="0" xfId="0" applyFont="1" applyAlignment="1">
      <alignment horizontal="center" vertical="center"/>
    </xf>
    <xf numFmtId="0" fontId="9" fillId="3" borderId="0" xfId="0" applyFont="1" applyFill="1" applyAlignment="1">
      <alignment horizontal="left"/>
    </xf>
    <xf numFmtId="0" fontId="35" fillId="3" borderId="0" xfId="1" applyFont="1" applyFill="1" applyAlignment="1">
      <alignment horizontal="left" indent="1"/>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35" fillId="3" borderId="0" xfId="1" applyFont="1" applyFill="1" applyAlignment="1">
      <alignment horizontal="left" wrapText="1" indent="1"/>
    </xf>
    <xf numFmtId="0" fontId="35" fillId="3" borderId="0" xfId="1" quotePrefix="1" applyFont="1" applyFill="1" applyAlignment="1">
      <alignment horizontal="left" indent="1"/>
    </xf>
    <xf numFmtId="0" fontId="5" fillId="0" borderId="0" xfId="0" applyFont="1" applyAlignment="1">
      <alignment horizontal="left" vertical="center" wrapText="1"/>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0" fontId="5" fillId="0" borderId="0" xfId="0" applyFont="1" applyAlignment="1">
      <alignment horizontal="left" vertical="top" wrapText="1"/>
    </xf>
    <xf numFmtId="0" fontId="9" fillId="0" borderId="0" xfId="0" applyFont="1" applyAlignment="1">
      <alignment horizontal="center" vertical="top"/>
    </xf>
    <xf numFmtId="0" fontId="18" fillId="0" borderId="0" xfId="0" applyFont="1" applyAlignment="1">
      <alignment horizontal="left" vertical="top" wrapText="1"/>
    </xf>
    <xf numFmtId="0" fontId="5" fillId="0" borderId="0" xfId="0" applyFont="1" applyAlignment="1">
      <alignment wrapText="1"/>
    </xf>
    <xf numFmtId="0" fontId="17" fillId="5" borderId="6" xfId="0" applyFont="1" applyFill="1" applyBorder="1" applyAlignment="1">
      <alignment horizontal="center" vertical="top"/>
    </xf>
    <xf numFmtId="0" fontId="17" fillId="5" borderId="7" xfId="0" applyFont="1" applyFill="1" applyBorder="1" applyAlignment="1">
      <alignment horizontal="center" vertical="top"/>
    </xf>
    <xf numFmtId="0" fontId="17" fillId="5" borderId="8" xfId="0" applyFont="1" applyFill="1" applyBorder="1" applyAlignment="1">
      <alignment horizontal="center" vertical="top"/>
    </xf>
    <xf numFmtId="0" fontId="18" fillId="0" borderId="0" xfId="0" applyFont="1" applyAlignment="1">
      <alignment horizontal="left" vertical="top"/>
    </xf>
    <xf numFmtId="0" fontId="9" fillId="0" borderId="0" xfId="0" applyFont="1" applyAlignment="1">
      <alignment horizontal="left" vertical="top" wrapText="1"/>
    </xf>
    <xf numFmtId="0" fontId="18" fillId="0" borderId="2" xfId="0" applyFont="1" applyBorder="1" applyAlignment="1">
      <alignment horizontal="left" vertical="top" wrapText="1"/>
    </xf>
    <xf numFmtId="0" fontId="22" fillId="0" borderId="0" xfId="0" applyFont="1" applyAlignment="1">
      <alignment horizontal="left" vertical="top" wrapText="1"/>
    </xf>
    <xf numFmtId="0" fontId="45" fillId="0" borderId="0" xfId="0" applyFont="1" applyAlignment="1">
      <alignment horizontal="left" vertical="top" wrapText="1"/>
    </xf>
    <xf numFmtId="0" fontId="4" fillId="5" borderId="6" xfId="0" applyFont="1" applyFill="1" applyBorder="1" applyAlignment="1">
      <alignment horizontal="center" vertical="top"/>
    </xf>
    <xf numFmtId="0" fontId="4" fillId="5" borderId="7" xfId="0" applyFont="1" applyFill="1" applyBorder="1" applyAlignment="1">
      <alignment horizontal="center" vertical="top"/>
    </xf>
    <xf numFmtId="0" fontId="4" fillId="5" borderId="8" xfId="0" applyFont="1" applyFill="1" applyBorder="1" applyAlignment="1">
      <alignment horizontal="center" vertical="top"/>
    </xf>
    <xf numFmtId="0" fontId="45" fillId="0" borderId="0" xfId="0" applyFont="1" applyAlignment="1">
      <alignment horizontal="left" vertical="top"/>
    </xf>
    <xf numFmtId="0" fontId="4" fillId="5" borderId="6" xfId="0" applyFont="1" applyFill="1" applyBorder="1" applyAlignment="1">
      <alignment horizontal="center"/>
    </xf>
    <xf numFmtId="0" fontId="4" fillId="5" borderId="7" xfId="0" applyFont="1" applyFill="1" applyBorder="1" applyAlignment="1">
      <alignment horizontal="center"/>
    </xf>
    <xf numFmtId="0" fontId="4" fillId="5" borderId="8" xfId="0" applyFont="1" applyFill="1" applyBorder="1" applyAlignment="1">
      <alignment horizontal="center"/>
    </xf>
    <xf numFmtId="1" fontId="11" fillId="0" borderId="2" xfId="0" applyNumberFormat="1" applyFont="1" applyBorder="1" applyAlignment="1">
      <alignment horizontal="right" vertical="center" wrapText="1"/>
    </xf>
    <xf numFmtId="9" fontId="10" fillId="0" borderId="10" xfId="0" applyNumberFormat="1" applyFont="1" applyBorder="1" applyAlignment="1">
      <alignment horizontal="center" vertical="center"/>
    </xf>
    <xf numFmtId="9" fontId="10" fillId="0" borderId="9" xfId="0" applyNumberFormat="1" applyFont="1" applyBorder="1" applyAlignment="1">
      <alignment horizontal="center" vertical="center"/>
    </xf>
    <xf numFmtId="9" fontId="10" fillId="4" borderId="10" xfId="2" applyFont="1" applyFill="1" applyBorder="1" applyAlignment="1">
      <alignment horizontal="center" vertical="center"/>
    </xf>
    <xf numFmtId="9" fontId="10" fillId="4" borderId="9" xfId="2" applyFont="1" applyFill="1" applyBorder="1" applyAlignment="1">
      <alignment horizontal="center" vertical="center"/>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xf>
    <xf numFmtId="9" fontId="10" fillId="0" borderId="3" xfId="2" applyFont="1" applyBorder="1" applyAlignment="1">
      <alignment horizontal="center" vertical="center"/>
    </xf>
    <xf numFmtId="9" fontId="10" fillId="0" borderId="5" xfId="2" applyFont="1" applyBorder="1" applyAlignment="1">
      <alignment horizontal="center" vertical="center"/>
    </xf>
    <xf numFmtId="1" fontId="10" fillId="0" borderId="2" xfId="2" applyNumberFormat="1" applyFont="1" applyBorder="1" applyAlignment="1">
      <alignment horizontal="center" vertical="center"/>
    </xf>
    <xf numFmtId="1" fontId="10" fillId="0" borderId="4" xfId="2" applyNumberFormat="1"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164" fontId="4" fillId="0" borderId="0" xfId="0" applyNumberFormat="1" applyFont="1" applyFill="1" applyAlignment="1">
      <alignment horizontal="center" vertical="top"/>
    </xf>
    <xf numFmtId="0" fontId="17" fillId="0" borderId="0" xfId="0" applyFont="1" applyFill="1" applyAlignment="1">
      <alignment horizontal="center" vertical="top"/>
    </xf>
    <xf numFmtId="0" fontId="24"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49" fontId="24" fillId="2" borderId="0" xfId="0" applyNumberFormat="1" applyFont="1" applyFill="1" applyBorder="1" applyAlignment="1">
      <alignment horizontal="center" vertical="center" wrapText="1"/>
    </xf>
    <xf numFmtId="0" fontId="23" fillId="0" borderId="0" xfId="0" applyFont="1" applyBorder="1" applyAlignment="1">
      <alignment horizontal="center" vertical="center" wrapText="1"/>
    </xf>
    <xf numFmtId="0" fontId="23" fillId="0" borderId="0" xfId="0" applyFont="1" applyBorder="1" applyAlignment="1">
      <alignment vertical="center" wrapText="1"/>
    </xf>
    <xf numFmtId="49" fontId="23" fillId="0" borderId="0" xfId="0" quotePrefix="1" applyNumberFormat="1" applyFont="1" applyBorder="1" applyAlignment="1">
      <alignment horizontal="center" vertical="center" wrapText="1"/>
    </xf>
    <xf numFmtId="0" fontId="39" fillId="0" borderId="0" xfId="1" applyFont="1" applyFill="1" applyBorder="1" applyAlignment="1">
      <alignment horizontal="center" vertical="center" wrapText="1"/>
    </xf>
    <xf numFmtId="166" fontId="23" fillId="0" borderId="0" xfId="0" applyNumberFormat="1" applyFont="1" applyBorder="1" applyAlignment="1">
      <alignment horizontal="center" vertical="center" wrapText="1"/>
    </xf>
    <xf numFmtId="49" fontId="23" fillId="0" borderId="0" xfId="0" applyNumberFormat="1" applyFont="1" applyBorder="1" applyAlignment="1">
      <alignment horizontal="center" vertical="center" wrapText="1"/>
    </xf>
    <xf numFmtId="0" fontId="23" fillId="0" borderId="0" xfId="0" applyFont="1" applyFill="1" applyBorder="1" applyAlignment="1">
      <alignment horizontal="center" vertical="center" wrapText="1"/>
    </xf>
    <xf numFmtId="0" fontId="23" fillId="0" borderId="0" xfId="0" applyFont="1" applyFill="1" applyBorder="1" applyAlignment="1">
      <alignment vertical="center" wrapText="1"/>
    </xf>
    <xf numFmtId="49" fontId="23" fillId="0" borderId="0" xfId="0" applyNumberFormat="1" applyFont="1" applyFill="1" applyBorder="1" applyAlignment="1">
      <alignment horizontal="center" vertical="center" wrapText="1"/>
    </xf>
    <xf numFmtId="0" fontId="39" fillId="0" borderId="0" xfId="0" applyFont="1" applyBorder="1" applyAlignment="1">
      <alignment horizontal="center" vertical="center" wrapText="1"/>
    </xf>
    <xf numFmtId="0" fontId="23" fillId="7" borderId="0" xfId="0" applyFont="1" applyFill="1" applyBorder="1" applyAlignment="1">
      <alignment horizontal="center" vertical="center" wrapText="1"/>
    </xf>
    <xf numFmtId="0" fontId="23" fillId="7" borderId="0" xfId="0" applyFont="1" applyFill="1" applyBorder="1" applyAlignment="1">
      <alignment vertical="center" wrapText="1"/>
    </xf>
    <xf numFmtId="49" fontId="23" fillId="7" borderId="0" xfId="0" applyNumberFormat="1" applyFont="1" applyFill="1" applyBorder="1" applyAlignment="1">
      <alignment horizontal="center" vertical="center" wrapText="1"/>
    </xf>
    <xf numFmtId="0" fontId="24" fillId="7" borderId="0" xfId="0" applyFont="1" applyFill="1" applyBorder="1" applyAlignment="1">
      <alignment horizontal="center" vertical="center" wrapText="1"/>
    </xf>
    <xf numFmtId="166" fontId="23" fillId="7" borderId="0" xfId="0" applyNumberFormat="1" applyFont="1" applyFill="1" applyBorder="1" applyAlignment="1">
      <alignment horizontal="center" vertical="center" wrapText="1"/>
    </xf>
    <xf numFmtId="0" fontId="22" fillId="0" borderId="0" xfId="0" applyFont="1" applyBorder="1" applyAlignment="1">
      <alignment horizontal="center" vertical="center" wrapText="1"/>
    </xf>
    <xf numFmtId="0" fontId="22" fillId="0" borderId="0" xfId="0" applyFont="1"/>
  </cellXfs>
  <cellStyles count="6">
    <cellStyle name="Hyperlink" xfId="1" builtinId="8"/>
    <cellStyle name="Normal" xfId="0" builtinId="0"/>
    <cellStyle name="Normal 2" xfId="3" xr:uid="{00000000-0005-0000-0000-000003000000}"/>
    <cellStyle name="Normal 3" xfId="4" xr:uid="{F3055F05-CA8F-4DE2-ADA7-7D13B210BE4F}"/>
    <cellStyle name="Percent" xfId="2" builtinId="5"/>
    <cellStyle name="Percent 2" xfId="5" xr:uid="{31D1636A-CE6A-4004-B6EB-88F1EA8B9103}"/>
  </cellStyles>
  <dxfs count="60">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numFmt numFmtId="166" formatCode="[$-409]mmmm\-yy;@"/>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numFmt numFmtId="166" formatCode="[$-409]mmmm\-yy;@"/>
      <alignment horizontal="center" vertical="center" textRotation="0" wrapText="1" indent="0" justifyLastLine="0" shrinkToFit="0" readingOrder="0"/>
    </dxf>
    <dxf>
      <font>
        <b val="0"/>
        <i val="0"/>
        <strike val="0"/>
        <condense val="0"/>
        <extend val="0"/>
        <outline val="0"/>
        <shadow val="0"/>
        <u val="none"/>
        <vertAlign val="baseline"/>
        <sz val="11"/>
        <color rgb="FF0070C0"/>
        <name val="Times New Roman"/>
        <family val="1"/>
        <scheme val="none"/>
      </font>
      <fill>
        <patternFill patternType="none">
          <fgColor indexed="64"/>
          <bgColor indexed="65"/>
        </patternFill>
      </fill>
      <alignment horizontal="center" vertical="center" textRotation="0" wrapText="1" indent="0" justifyLastLine="0" shrinkToFit="0" readingOrder="0"/>
    </dxf>
    <dxf>
      <font>
        <strike val="0"/>
        <outline val="0"/>
        <shadow val="0"/>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numFmt numFmtId="30" formatCode="@"/>
      <fill>
        <patternFill patternType="none">
          <fgColor indexed="64"/>
          <bgColor auto="1"/>
        </patternFill>
      </fill>
      <alignment horizontal="center" vertical="center" textRotation="0" wrapText="1" indent="0" justifyLastLine="0" shrinkToFit="0" readingOrder="0"/>
    </dxf>
    <dxf>
      <font>
        <strike val="0"/>
        <outline val="0"/>
        <shadow val="0"/>
        <vertAlign val="baseline"/>
        <sz val="11"/>
        <color auto="1"/>
        <name val="Times New Roman"/>
        <family val="1"/>
        <scheme val="none"/>
      </font>
      <alignment horizontal="general" vertical="center" textRotation="0" wrapText="1" indent="0" justifyLastLine="0" shrinkToFit="0" readingOrder="0"/>
    </dxf>
    <dxf>
      <font>
        <strike val="0"/>
        <outline val="0"/>
        <shadow val="0"/>
        <vertAlign val="baseline"/>
        <sz val="11"/>
        <color auto="1"/>
        <name val="Times New Roman"/>
        <family val="1"/>
        <scheme val="none"/>
      </font>
      <alignment horizontal="center" vertical="center" textRotation="0" wrapText="1" indent="0" justifyLastLine="0" shrinkToFit="0" readingOrder="0"/>
    </dxf>
    <dxf>
      <font>
        <strike val="0"/>
        <outline val="0"/>
        <shadow val="0"/>
        <vertAlign val="baseline"/>
        <sz val="11"/>
        <color auto="1"/>
        <name val="Times New Roman"/>
        <family val="1"/>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dxf>
    <dxf>
      <font>
        <strike val="0"/>
        <outline val="0"/>
        <shadow val="0"/>
        <vertAlign val="baseline"/>
        <sz val="11"/>
        <color auto="1"/>
        <name val="Times New Roman"/>
        <family val="1"/>
        <scheme val="none"/>
      </font>
      <alignment horizontal="center"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numFmt numFmtId="30" formatCode="@"/>
      <fill>
        <gradientFill degree="90">
          <stop position="0">
            <color rgb="FFFFFF00"/>
          </stop>
          <stop position="1">
            <color theme="0"/>
          </stop>
        </gradientFill>
      </fill>
    </dxf>
    <dxf>
      <fill>
        <patternFill>
          <bgColor rgb="FFFFFF00"/>
        </patternFill>
      </fill>
    </dxf>
    <dxf>
      <font>
        <b val="0"/>
        <i val="0"/>
        <strike val="0"/>
        <condense val="0"/>
        <extend val="0"/>
        <outline val="0"/>
        <shadow val="0"/>
        <u val="none"/>
        <vertAlign val="baseline"/>
        <sz val="11"/>
        <color rgb="FF000000"/>
        <name val="Times New Roman"/>
        <family val="1"/>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alignment horizontal="center" vertical="center" textRotation="0" wrapText="1" indent="0" justifyLastLine="0" shrinkToFit="0" readingOrder="0"/>
    </dxf>
    <dxf>
      <font>
        <strike val="0"/>
        <outline val="0"/>
        <shadow val="0"/>
        <u val="none"/>
        <vertAlign val="baseline"/>
        <sz val="11"/>
        <name val="Times New Roman"/>
        <family val="1"/>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numFmt numFmtId="30" formatCode="@"/>
      <alignment horizontal="left" vertical="center" textRotation="0" wrapText="0" indent="0" justifyLastLine="0" shrinkToFit="0" readingOrder="0"/>
    </dxf>
    <dxf>
      <font>
        <b val="0"/>
        <i val="0"/>
        <strike val="0"/>
        <condense val="0"/>
        <extend val="0"/>
        <outline val="0"/>
        <shadow val="0"/>
        <u val="none"/>
        <vertAlign val="baseline"/>
        <sz val="11"/>
        <color rgb="FF000000"/>
        <name val="Times New Roman"/>
        <family val="1"/>
        <scheme val="none"/>
      </font>
      <alignment horizontal="left" vertical="center" textRotation="0" wrapText="1" indent="0" justifyLastLine="0" shrinkToFit="0" readingOrder="0"/>
    </dxf>
    <dxf>
      <border outline="0">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Times New Roman"/>
        <family val="1"/>
        <scheme val="none"/>
      </font>
      <alignment horizontal="center"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1"/>
        <color auto="1"/>
        <name val="Times New Roman"/>
        <family val="1"/>
        <scheme val="none"/>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center" textRotation="0" wrapText="0" indent="0" justifyLastLine="0" shrinkToFit="0" readingOrder="0"/>
    </dxf>
    <dxf>
      <font>
        <strike val="0"/>
        <outline val="0"/>
        <shadow val="0"/>
        <u val="none"/>
        <vertAlign val="baseline"/>
        <sz val="11"/>
        <color auto="1"/>
        <name val="Times New Roman"/>
        <family val="1"/>
        <scheme val="none"/>
      </font>
      <alignment textRotation="0" wrapText="1" indent="0" justifyLastLine="0" shrinkToFit="0" readingOrder="0"/>
    </dxf>
    <dxf>
      <font>
        <b val="0"/>
        <i val="0"/>
        <strike val="0"/>
        <condense val="0"/>
        <extend val="0"/>
        <outline val="0"/>
        <shadow val="0"/>
        <u val="none"/>
        <vertAlign val="baseline"/>
        <sz val="11"/>
        <color auto="1"/>
        <name val="Times New Roman"/>
        <family val="1"/>
        <scheme val="none"/>
      </font>
      <alignment horizontal="center" vertical="bottom" textRotation="0" wrapText="0" indent="0" justifyLastLine="0" shrinkToFit="0" readingOrder="0"/>
    </dxf>
    <dxf>
      <font>
        <b/>
        <i val="0"/>
        <strike val="0"/>
        <condense val="0"/>
        <extend val="0"/>
        <outline val="0"/>
        <shadow val="0"/>
        <u val="none"/>
        <vertAlign val="baseline"/>
        <sz val="11"/>
        <color auto="1"/>
        <name val="Times New Roman"/>
        <family val="1"/>
        <scheme val="none"/>
      </font>
      <alignment horizontal="center" vertical="center" textRotation="0" wrapText="1" indent="0"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1318F5"/>
      <color rgb="FF323AD6"/>
      <color rgb="FF3749D1"/>
      <color rgb="FF250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450645</xdr:colOff>
      <xdr:row>4</xdr:row>
      <xdr:rowOff>30726</xdr:rowOff>
    </xdr:from>
    <xdr:ext cx="1963257" cy="1881321"/>
    <xdr:pic>
      <xdr:nvPicPr>
        <xdr:cNvPr id="2" name="Picture 1">
          <a:extLst>
            <a:ext uri="{FF2B5EF4-FFF2-40B4-BE49-F238E27FC236}">
              <a16:creationId xmlns:a16="http://schemas.microsoft.com/office/drawing/2014/main" id="{12CE75C3-9520-4E4A-8D7C-2885913CDD8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9597" y="962742"/>
          <a:ext cx="1963257" cy="1881321"/>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0</xdr:colOff>
      <xdr:row>17</xdr:row>
      <xdr:rowOff>0</xdr:rowOff>
    </xdr:from>
    <xdr:to>
      <xdr:col>13</xdr:col>
      <xdr:colOff>219323</xdr:colOff>
      <xdr:row>17</xdr:row>
      <xdr:rowOff>65896</xdr:rowOff>
    </xdr:to>
    <xdr:pic>
      <xdr:nvPicPr>
        <xdr:cNvPr id="2" name="Picture">
          <a:extLst>
            <a:ext uri="{FF2B5EF4-FFF2-40B4-BE49-F238E27FC236}">
              <a16:creationId xmlns:a16="http://schemas.microsoft.com/office/drawing/2014/main" id="{2EA9E99F-790C-4373-A835-9852207AAD89}"/>
            </a:ext>
          </a:extLst>
        </xdr:cNvPr>
        <xdr:cNvPicPr preferRelativeResize="0"/>
      </xdr:nvPicPr>
      <xdr:blipFill>
        <a:blip xmlns:r="http://schemas.openxmlformats.org/officeDocument/2006/relationships" r:embed="rId1"/>
        <a:stretch>
          <a:fillRect/>
        </a:stretch>
      </xdr:blipFill>
      <xdr:spPr>
        <a:xfrm>
          <a:off x="1162050" y="3790950"/>
          <a:ext cx="6610598" cy="6589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EA2575-CA84-4D02-9CA9-3B98EBCCAE55}" name="Table1" displayName="Table1" ref="A3:L237" totalsRowShown="0" headerRowDxfId="59" tableBorderDxfId="12">
  <autoFilter ref="A3:L237" xr:uid="{5EEA2575-CA84-4D02-9CA9-3B98EBCCAE55}"/>
  <tableColumns count="12">
    <tableColumn id="2" xr3:uid="{E18AD40C-EA83-4683-BBDD-1D01AD024B28}" name="HUD Office" dataDxfId="11"/>
    <tableColumn id="1" xr3:uid="{00012E02-38F5-4B87-93D3-A5FE8C4BFF24}" name="Fiscal Year" dataDxfId="10"/>
    <tableColumn id="3" xr3:uid="{4117259D-6EEC-4E6D-A884-E98A6AA6DAD4}" name="Plan Number" dataDxfId="9"/>
    <tableColumn id="4" xr3:uid="{BC90B6A1-9433-4A9C-AAF6-33D40A78D092}" name="Requirement_x000a_Type" dataDxfId="8"/>
    <tableColumn id="5" xr3:uid="{A64DBF72-B110-49A0-91F2-B8EB70FEF379}" name="Name (Description)" dataDxfId="7"/>
    <tableColumn id="6" xr3:uid="{5078BE1E-30DD-4F14-990B-33F085DADB26}" name="Primary_x000a_NAICS Code or GSA Schedule" dataDxfId="6"/>
    <tableColumn id="7" xr3:uid="{D42783F2-4823-4426-B9BC-81EF06BD9776}" name="Type of_x000a_Competition" dataDxfId="5"/>
    <tableColumn id="8" xr3:uid="{9E0F09B0-E97E-4A68-8DC0-E0EC35F0E3FA}" name="Total Contract Value Dollar Range (Base and All Option Values)" dataDxfId="4"/>
    <tableColumn id="9" xr3:uid="{0DB94164-5FF2-4A7B-BFE9-55F56F1D7A3F}" name="Point of Contact _x000a_Name &amp; E-mail" dataDxfId="3" dataCellStyle="Hyperlink"/>
    <tableColumn id="10" xr3:uid="{9399D9A4-B5E4-49BA-9610-C14C7B4ECA60}" name="Solicitation Release Date_x000a_(Month)" dataDxfId="2"/>
    <tableColumn id="11" xr3:uid="{09C5B193-E20C-43B1-97C8-AABABE0A676B}" name="Award Date (Month)" dataDxfId="1"/>
    <tableColumn id="12" xr3:uid="{F1107424-8681-4F96-9BFE-E1D899157430}" name="Contract _x000a_Length"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4677B8-795F-4409-B6F5-031356E9B910}" name="Table4" displayName="Table4" ref="A2:R19" totalsRowShown="0" headerRowDxfId="58" dataDxfId="57" headerRowCellStyle="Normal 2" dataCellStyle="Normal 2">
  <autoFilter ref="A2:R19" xr:uid="{9D4677B8-795F-4409-B6F5-031356E9B910}"/>
  <tableColumns count="18">
    <tableColumn id="1" xr3:uid="{C916F370-42BD-4901-A6E9-34526E0D2A19}" name="Office Name" dataDxfId="56" dataCellStyle="Normal 2"/>
    <tableColumn id="2" xr3:uid="{6B2F59E0-4746-4CDB-B224-C347D02DC3C8}" name="0-5k" dataDxfId="55" dataCellStyle="Normal 2"/>
    <tableColumn id="3" xr3:uid="{FB5BEB6A-0351-4644-A710-3FD1F109944A}" name="5-10k" dataDxfId="54" dataCellStyle="Normal 2"/>
    <tableColumn id="4" xr3:uid="{CAF3ADEE-49D6-4FC7-AB8C-0ECA3A83EC6F}" name="10-25k" dataDxfId="53" dataCellStyle="Normal 2"/>
    <tableColumn id="5" xr3:uid="{ACDC15B3-C428-4A83-AB27-68BF5FF14FC5}" name="25-50k" dataDxfId="52" dataCellStyle="Normal 2"/>
    <tableColumn id="6" xr3:uid="{5DB48596-1D15-44F9-96F8-DE7147B86E18}" name="50-75k" dataDxfId="51" dataCellStyle="Normal 2"/>
    <tableColumn id="7" xr3:uid="{21AD2143-BD9B-47A9-9183-F96A15F1C0D7}" name="75-100k" dataDxfId="50" dataCellStyle="Normal 2"/>
    <tableColumn id="8" xr3:uid="{4AA901F6-D53A-4E26-85EB-3B2DF46080F1}" name="100-200k" dataDxfId="49" dataCellStyle="Normal 2"/>
    <tableColumn id="9" xr3:uid="{07A53782-A140-4E0D-B934-E44D950249F5}" name="200-500k" dataDxfId="48" dataCellStyle="Normal 2"/>
    <tableColumn id="10" xr3:uid="{DEDE4530-B33C-461E-81F9-1B23C0CF5DD5}" name="500k-1M" dataDxfId="47" dataCellStyle="Normal 2"/>
    <tableColumn id="11" xr3:uid="{672CE7D6-FC82-40FF-9EC8-C754D78C7D39}" name="1-2M" dataDxfId="46" dataCellStyle="Normal 2"/>
    <tableColumn id="12" xr3:uid="{D153B3A9-5445-4590-9DB7-D9C48B7A8DE1}" name="2-3M" dataDxfId="45" dataCellStyle="Normal 2"/>
    <tableColumn id="13" xr3:uid="{6BADCE3B-91D8-4296-AB35-BBBF67550C7A}" name="3-5M" dataDxfId="44" dataCellStyle="Normal 2"/>
    <tableColumn id="14" xr3:uid="{675502F6-700A-4013-8B16-54D1D0B250DB}" name="5-10M" dataDxfId="43" dataCellStyle="Normal 2"/>
    <tableColumn id="15" xr3:uid="{1F2061ED-B559-4A4A-BD60-0B6BFEE70855}" name="10-50M" dataDxfId="42" dataCellStyle="Normal 2"/>
    <tableColumn id="16" xr3:uid="{6F037076-241E-4F34-9611-21F52FB475F8}" name="50-150M" dataDxfId="41" dataCellStyle="Normal 2"/>
    <tableColumn id="17" xr3:uid="{7C5511AD-D703-423F-B14C-F58760E900E9}" name="150M or more" dataDxfId="40" dataCellStyle="Normal 2"/>
    <tableColumn id="18" xr3:uid="{FA689042-036F-478C-AE14-F6D94A2E7005}" name="Total" dataDxfId="39">
      <calculatedColumnFormula>SUM(B3:Q3)</calculatedColumnFormula>
    </tableColumn>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FE9B73E-98C3-4C47-B83A-443D73BFCCB8}" name="Table2" displayName="Table2" ref="A2:T58" totalsRowShown="0" headerRowDxfId="38" dataDxfId="36" headerRowBorderDxfId="37" tableBorderDxfId="35">
  <autoFilter ref="A2:T58" xr:uid="{CFE9B73E-98C3-4C47-B83A-443D73BFCCB8}"/>
  <sortState xmlns:xlrd2="http://schemas.microsoft.com/office/spreadsheetml/2017/richdata2" ref="A3:T58">
    <sortCondition ref="B2:B58"/>
  </sortState>
  <tableColumns count="20">
    <tableColumn id="1" xr3:uid="{489AAA4A-0AC1-4F86-995F-9060C25B5D9A}" name="NAICS Code Description" dataDxfId="34"/>
    <tableColumn id="2" xr3:uid="{89CD81B0-D12E-496F-9C2F-E35E7EC76A82}" name="Primary NAICS Code" dataDxfId="33"/>
    <tableColumn id="3" xr3:uid="{CA8D510F-6C1F-4E60-8D29-E932425A64A9}" name="Office of Administration" dataDxfId="32">
      <calculatedColumnFormula>COUNTIFS('PRODUCTS AND SERVICES'!$A$4:$A$237,"Administration",'PRODUCTS AND SERVICES'!$F$4:$F$237,$B3&amp;"*")</calculatedColumnFormula>
    </tableColumn>
    <tableColumn id="4" xr3:uid="{56253905-8EE5-463F-9C2D-7DB96D5FA287}" name="Office of Chief Financial Officer (OCFO)" dataDxfId="31">
      <calculatedColumnFormula>COUNTIFS('PRODUCTS AND SERVICES'!$A$4:$A$237,"Chief Financial Officer",'PRODUCTS AND SERVICES'!$F$4:$F$237,$B3&amp;"*")</calculatedColumnFormula>
    </tableColumn>
    <tableColumn id="5" xr3:uid="{0704CAC2-EE32-4EAE-9101-08010D10112C}" name="Office of Chief Human Capital Officer (OCHCO)" dataDxfId="30">
      <calculatedColumnFormula>COUNTIFS('PRODUCTS AND SERVICES'!$A$4:$A$237,"Chief Human Capital Officer",'PRODUCTS AND SERVICES'!$F$4:$F$237,$B3&amp;"*")</calculatedColumnFormula>
    </tableColumn>
    <tableColumn id="6" xr3:uid="{2149FC13-0653-4F68-9D22-8350DA4F4EE0}" name="Office of Chief Information Officer (OCIO)" dataDxfId="29">
      <calculatedColumnFormula>COUNTIFS('PRODUCTS AND SERVICES'!$A$4:$A$237,"Chief Information Officer",'PRODUCTS AND SERVICES'!$F$4:$F$237,$B3&amp;"*")</calculatedColumnFormula>
    </tableColumn>
    <tableColumn id="20" xr3:uid="{798B119C-6DBE-48DF-A939-5D21C31C01D4}" name="Office of Chief Procurement Officer (OCPO)" dataDxfId="28">
      <calculatedColumnFormula>COUNTIFS('PRODUCTS AND SERVICES'!$A$4:$A$237,"Chief Procurement Officer",'PRODUCTS AND SERVICES'!$F$4:$F$237,$B3&amp;"*")</calculatedColumnFormula>
    </tableColumn>
    <tableColumn id="8" xr3:uid="{0EE513F0-903C-4730-94A9-D74BE6F5B812}" name="Office of Community Planning &amp; Development (OCPD)" dataDxfId="27">
      <calculatedColumnFormula>COUNTIFS('PRODUCTS AND SERVICES'!$A$4:$A$237,"Community Planning and Development",'PRODUCTS AND SERVICES'!$F$4:$F$237,$B3&amp;"*")</calculatedColumnFormula>
    </tableColumn>
    <tableColumn id="7" xr3:uid="{902413C2-11E4-4C23-871D-24018A221941}" name="Office of Departmental Equal Employment Opportunity (ODEEO)" dataDxfId="26">
      <calculatedColumnFormula>COUNTIFS('PRODUCTS AND SERVICES'!$A$4:$A$237,"Community Planning and Development",'PRODUCTS AND SERVICES'!$F$4:$F$237,$B3&amp;"*")</calculatedColumnFormula>
    </tableColumn>
    <tableColumn id="9" xr3:uid="{B40B6817-38F2-4BD5-BA76-03B54A78260B}" name="Office of Fair Housing and Equal Opportunity (FHEO)" dataDxfId="25">
      <calculatedColumnFormula>COUNTIFS('PRODUCTS AND SERVICES'!$A$4:$A$237,"Fair Housing and Equal Opportunity",'PRODUCTS AND SERVICES'!$F$4:$F$237,$B3&amp;"*")</calculatedColumnFormula>
    </tableColumn>
    <tableColumn id="10" xr3:uid="{42338BB8-1899-4D1A-9CDA-9421113F7C0D}" name="Office of Field Policy and Management" dataDxfId="24">
      <calculatedColumnFormula>COUNTIFS('PRODUCTS AND SERVICES'!$A$4:$A$237,"Field Policy &amp; Management",'PRODUCTS AND SERVICES'!$F$4:$F$237,$B3&amp;"*")</calculatedColumnFormula>
    </tableColumn>
    <tableColumn id="11" xr3:uid="{121A21A4-659A-4CB9-8E0E-3AEAF66FEEB5}" name="Office of General Counsel (OGC)" dataDxfId="23">
      <calculatedColumnFormula>COUNTIFS('PRODUCTS AND SERVICES'!$A$4:$A$237,"General Counsel",'PRODUCTS AND SERVICES'!$F$4:$F$237,$B3&amp;"*")</calculatedColumnFormula>
    </tableColumn>
    <tableColumn id="12" xr3:uid="{99941ED7-84A8-45D3-A55C-E3D93DFBA7C4}" name="Government National Mortgage Association (Ginnie Mae)" dataDxfId="22">
      <calculatedColumnFormula>COUNTIFS('PRODUCTS AND SERVICES'!$A$4:$A$237,"Ginnie Mae",'PRODUCTS AND SERVICES'!$F$4:$F$237,$B3&amp;"*")</calculatedColumnFormula>
    </tableColumn>
    <tableColumn id="13" xr3:uid="{0555CCF6-0883-409B-B82E-00FC102C86D0}" name="Office of Housing" dataDxfId="21">
      <calculatedColumnFormula>COUNTIFS('PRODUCTS AND SERVICES'!$A$4:$A$237,"Housing",'PRODUCTS AND SERVICES'!$F$4:$F$237,$B3&amp;"*")</calculatedColumnFormula>
    </tableColumn>
    <tableColumn id="14" xr3:uid="{B85356E1-676C-43B0-9D00-9DC2584B181D}" name="Office of Lead Hazard Control and Healthy Homes (OLHCHH)" dataDxfId="20">
      <calculatedColumnFormula>COUNTIFS('PRODUCTS AND SERVICES'!$A$4:$A$237,"Lead Hazard Control and Healthy Homes",'PRODUCTS AND SERVICES'!$F$4:$F$237,$B3&amp;"*")</calculatedColumnFormula>
    </tableColumn>
    <tableColumn id="15" xr3:uid="{688523C0-7B6B-422C-96A9-92C5929C7590}" name="Office of Policy Development and Research (PD&amp;R)" dataDxfId="19">
      <calculatedColumnFormula>COUNTIFS('PRODUCTS AND SERVICES'!$A$4:$A$237,"Policy Development and Research",'PRODUCTS AND SERVICES'!$F$4:$F$237,$B3&amp;"*")</calculatedColumnFormula>
    </tableColumn>
    <tableColumn id="16" xr3:uid="{AF229D95-AE76-4A79-B042-DB64305B68B0}" name="Office of Public and Indian Housing (PIH)" dataDxfId="18">
      <calculatedColumnFormula>COUNTIFS('PRODUCTS AND SERVICES'!$A$4:$A$237,"Public and Indian Housing",'PRODUCTS AND SERVICES'!$F$4:$F$237,$B3&amp;"*")</calculatedColumnFormula>
    </tableColumn>
    <tableColumn id="17" xr3:uid="{E86BB421-EF8C-4A0D-8ECE-6DC70B58E6FC}" name="Office of the Secretary" dataDxfId="17">
      <calculatedColumnFormula>COUNTIFS('PRODUCTS AND SERVICES'!$A$4:$A$237,"Secretary",'PRODUCTS AND SERVICES'!$F$4:$F$237,$B3&amp;"*")</calculatedColumnFormula>
    </tableColumn>
    <tableColumn id="18" xr3:uid="{24D72A68-27FE-44D4-A9A8-FF69C4AF845A}" name="Total" dataDxfId="16">
      <calculatedColumnFormula>SUM(C3:R3)</calculatedColumnFormula>
    </tableColumn>
    <tableColumn id="19" xr3:uid="{3E4A752A-6F9A-4AE7-91E4-E8CEB26D3234}" name="Percentage" dataDxfId="15" dataCellStyle="Percent">
      <calculatedColumnFormula>S3/$S$59</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hud.gov/smallbusiness" TargetMode="External"/></Relationships>
</file>

<file path=xl/worksheets/_rels/sheet10.xml.rels><?xml version="1.0" encoding="UTF-8" standalone="yes"?>
<Relationships xmlns="http://schemas.openxmlformats.org/package/2006/relationships"><Relationship Id="rId26" Type="http://schemas.openxmlformats.org/officeDocument/2006/relationships/hyperlink" Target="mailto:Regina.C.Gray@hud.gov" TargetMode="External"/><Relationship Id="rId117" Type="http://schemas.openxmlformats.org/officeDocument/2006/relationships/hyperlink" Target="mailto:Kim.D.Cox@hud.gov" TargetMode="External"/><Relationship Id="rId21" Type="http://schemas.openxmlformats.org/officeDocument/2006/relationships/hyperlink" Target="mailto:Diana.Villavicencio@hud.gov" TargetMode="External"/><Relationship Id="rId42" Type="http://schemas.openxmlformats.org/officeDocument/2006/relationships/hyperlink" Target="mailto:Evelyn.Hoffman@hud.gov" TargetMode="External"/><Relationship Id="rId47" Type="http://schemas.openxmlformats.org/officeDocument/2006/relationships/hyperlink" Target="mailto:Harold.D.Owens@hud.gov" TargetMode="External"/><Relationship Id="rId63" Type="http://schemas.openxmlformats.org/officeDocument/2006/relationships/hyperlink" Target="mailto:Sarah.M.Lyke@hud.gov" TargetMode="External"/><Relationship Id="rId68" Type="http://schemas.openxmlformats.org/officeDocument/2006/relationships/hyperlink" Target="mailto:Tiffany.M.Brogan-clement@hud.gov" TargetMode="External"/><Relationship Id="rId84" Type="http://schemas.openxmlformats.org/officeDocument/2006/relationships/hyperlink" Target="mailto:Michael.Davenport@hud.gov" TargetMode="External"/><Relationship Id="rId89" Type="http://schemas.openxmlformats.org/officeDocument/2006/relationships/hyperlink" Target="mailto:Martha.E.Bullock@hud.gov" TargetMode="External"/><Relationship Id="rId112" Type="http://schemas.openxmlformats.org/officeDocument/2006/relationships/hyperlink" Target="mailto:Sharon.L.Riley@hud.gov" TargetMode="External"/><Relationship Id="rId133" Type="http://schemas.openxmlformats.org/officeDocument/2006/relationships/hyperlink" Target="mailto:Terry.D.Lewis@hud.gov" TargetMode="External"/><Relationship Id="rId138" Type="http://schemas.openxmlformats.org/officeDocument/2006/relationships/hyperlink" Target="mailto:James.H.Utterback@hud.gov" TargetMode="External"/><Relationship Id="rId154" Type="http://schemas.openxmlformats.org/officeDocument/2006/relationships/hyperlink" Target="mailto:Natalicia.Garcia@hud.gov" TargetMode="External"/><Relationship Id="rId159" Type="http://schemas.openxmlformats.org/officeDocument/2006/relationships/hyperlink" Target="mailto:Ayanna.S.Gibson@hud.gov" TargetMode="External"/><Relationship Id="rId175" Type="http://schemas.openxmlformats.org/officeDocument/2006/relationships/hyperlink" Target="mailto:Peter.W.Webb@hud.gov" TargetMode="External"/><Relationship Id="rId170" Type="http://schemas.openxmlformats.org/officeDocument/2006/relationships/hyperlink" Target="mailto:Roscoe.D.Brunson@hud.gov" TargetMode="External"/><Relationship Id="rId16" Type="http://schemas.openxmlformats.org/officeDocument/2006/relationships/hyperlink" Target="mailto:Malita.M.Dyson@hud.gov" TargetMode="External"/><Relationship Id="rId107" Type="http://schemas.openxmlformats.org/officeDocument/2006/relationships/hyperlink" Target="mailto:Michael.Davenport@hud.gov" TargetMode="External"/><Relationship Id="rId11" Type="http://schemas.openxmlformats.org/officeDocument/2006/relationships/hyperlink" Target="mailto:Shonta.D.Dawkins@hud.gov" TargetMode="External"/><Relationship Id="rId32" Type="http://schemas.openxmlformats.org/officeDocument/2006/relationships/hyperlink" Target="mailto:Marina.L.Myhre@hud.gov" TargetMode="External"/><Relationship Id="rId37" Type="http://schemas.openxmlformats.org/officeDocument/2006/relationships/hyperlink" Target="mailto:Valerie.Perry@hud.gov" TargetMode="External"/><Relationship Id="rId53" Type="http://schemas.openxmlformats.org/officeDocument/2006/relationships/hyperlink" Target="mailto:Deborah.M.Lawrence-Wilson@hud.gov" TargetMode="External"/><Relationship Id="rId58" Type="http://schemas.openxmlformats.org/officeDocument/2006/relationships/hyperlink" Target="mailto:Leslie.H.Ryce@hud.gov" TargetMode="External"/><Relationship Id="rId74" Type="http://schemas.openxmlformats.org/officeDocument/2006/relationships/hyperlink" Target="mailto:Jeffrey.P.Horton@hud.gov" TargetMode="External"/><Relationship Id="rId79" Type="http://schemas.openxmlformats.org/officeDocument/2006/relationships/hyperlink" Target="mailto:Marina.L.Myhre@hud.gov" TargetMode="External"/><Relationship Id="rId102" Type="http://schemas.openxmlformats.org/officeDocument/2006/relationships/hyperlink" Target="mailto:Valerie.Perry@hud.gov" TargetMode="External"/><Relationship Id="rId123" Type="http://schemas.openxmlformats.org/officeDocument/2006/relationships/hyperlink" Target="mailto:Quinton.L.Pittman@hud.gov" TargetMode="External"/><Relationship Id="rId128" Type="http://schemas.openxmlformats.org/officeDocument/2006/relationships/hyperlink" Target="mailto:Donna.Crowley@hud.gov" TargetMode="External"/><Relationship Id="rId144" Type="http://schemas.openxmlformats.org/officeDocument/2006/relationships/hyperlink" Target="mailto:Michael.A.Moment@hud.gov" TargetMode="External"/><Relationship Id="rId149" Type="http://schemas.openxmlformats.org/officeDocument/2006/relationships/hyperlink" Target="mailto:Monica.S.Baptista@hud.gov" TargetMode="External"/><Relationship Id="rId5" Type="http://schemas.openxmlformats.org/officeDocument/2006/relationships/hyperlink" Target="mailto:Rodney.L.Johnson@hud.gov" TargetMode="External"/><Relationship Id="rId90" Type="http://schemas.openxmlformats.org/officeDocument/2006/relationships/hyperlink" Target="mailto:Martha.E.Bullock@hud.gov" TargetMode="External"/><Relationship Id="rId95" Type="http://schemas.openxmlformats.org/officeDocument/2006/relationships/hyperlink" Target="mailto:Henri.P.Goodson@hud.gov" TargetMode="External"/><Relationship Id="rId160" Type="http://schemas.openxmlformats.org/officeDocument/2006/relationships/hyperlink" Target="mailto:Ayanna.S.Gibson@hud.gov" TargetMode="External"/><Relationship Id="rId165" Type="http://schemas.openxmlformats.org/officeDocument/2006/relationships/hyperlink" Target="mailto:Terry.D.Lewis@hud.gov" TargetMode="External"/><Relationship Id="rId181" Type="http://schemas.openxmlformats.org/officeDocument/2006/relationships/hyperlink" Target="mailto:Sharon.L.Riley@hud.gov" TargetMode="External"/><Relationship Id="rId22" Type="http://schemas.openxmlformats.org/officeDocument/2006/relationships/hyperlink" Target="mailto:Michael.D.Blanford@hud.gov" TargetMode="External"/><Relationship Id="rId27" Type="http://schemas.openxmlformats.org/officeDocument/2006/relationships/hyperlink" Target="mailto:Paul.A.Joice@hud.gov" TargetMode="External"/><Relationship Id="rId43" Type="http://schemas.openxmlformats.org/officeDocument/2006/relationships/hyperlink" Target="mailto:Evelyn.Hoffman@hud.gov" TargetMode="External"/><Relationship Id="rId48" Type="http://schemas.openxmlformats.org/officeDocument/2006/relationships/hyperlink" Target="mailto:Kenneth.R.Davis@hud.gov" TargetMode="External"/><Relationship Id="rId64" Type="http://schemas.openxmlformats.org/officeDocument/2006/relationships/hyperlink" Target="mailto:Wendy.Johnson@hud.gov" TargetMode="External"/><Relationship Id="rId69" Type="http://schemas.openxmlformats.org/officeDocument/2006/relationships/hyperlink" Target="mailto:Tiffany.M.Brogan-clement@hud.gov" TargetMode="External"/><Relationship Id="rId113" Type="http://schemas.openxmlformats.org/officeDocument/2006/relationships/hyperlink" Target="mailto:Donald.C.Hanible@hud.gov" TargetMode="External"/><Relationship Id="rId118" Type="http://schemas.openxmlformats.org/officeDocument/2006/relationships/hyperlink" Target="mailto:Olamide.O.Adewole@hud.gov" TargetMode="External"/><Relationship Id="rId134" Type="http://schemas.openxmlformats.org/officeDocument/2006/relationships/hyperlink" Target="mailto:Terry.D.Lewis@hud.gov" TargetMode="External"/><Relationship Id="rId139" Type="http://schemas.openxmlformats.org/officeDocument/2006/relationships/hyperlink" Target="mailto:Monica.S.Baptista@hud.gov" TargetMode="External"/><Relationship Id="rId80" Type="http://schemas.openxmlformats.org/officeDocument/2006/relationships/hyperlink" Target="mailto:Michelle.P.Matuga@hud.gov" TargetMode="External"/><Relationship Id="rId85" Type="http://schemas.openxmlformats.org/officeDocument/2006/relationships/hyperlink" Target="mailto:Yvonne.G.Flores@hud.gov" TargetMode="External"/><Relationship Id="rId150" Type="http://schemas.openxmlformats.org/officeDocument/2006/relationships/hyperlink" Target="mailto:Donna.Crowley@hud.gov" TargetMode="External"/><Relationship Id="rId155" Type="http://schemas.openxmlformats.org/officeDocument/2006/relationships/hyperlink" Target="mailto:Natalicia.Garcia@hud.gov" TargetMode="External"/><Relationship Id="rId171" Type="http://schemas.openxmlformats.org/officeDocument/2006/relationships/hyperlink" Target="mailto:Roscoe.D.Brunson@hud.gov" TargetMode="External"/><Relationship Id="rId176" Type="http://schemas.openxmlformats.org/officeDocument/2006/relationships/hyperlink" Target="mailto:Gina.E.Lassiter@hud.gov" TargetMode="External"/><Relationship Id="rId12" Type="http://schemas.openxmlformats.org/officeDocument/2006/relationships/hyperlink" Target="mailto:Benita.D.Meadow@hud.gov" TargetMode="External"/><Relationship Id="rId17" Type="http://schemas.openxmlformats.org/officeDocument/2006/relationships/hyperlink" Target="mailto:James.Williams@hud.gov" TargetMode="External"/><Relationship Id="rId33" Type="http://schemas.openxmlformats.org/officeDocument/2006/relationships/hyperlink" Target="mailto:Jagruti.D.Rekhi@hud.gov" TargetMode="External"/><Relationship Id="rId38" Type="http://schemas.openxmlformats.org/officeDocument/2006/relationships/hyperlink" Target="mailto:April.A.Cox@hud.gov" TargetMode="External"/><Relationship Id="rId59" Type="http://schemas.openxmlformats.org/officeDocument/2006/relationships/hyperlink" Target="mailto:Leslie.H.Ryce@hud.gov" TargetMode="External"/><Relationship Id="rId103" Type="http://schemas.openxmlformats.org/officeDocument/2006/relationships/hyperlink" Target="mailto:Valerie.Perry@hud.gov" TargetMode="External"/><Relationship Id="rId108" Type="http://schemas.openxmlformats.org/officeDocument/2006/relationships/hyperlink" Target="mailto:Valerie.Perry@hud.gov" TargetMode="External"/><Relationship Id="rId124" Type="http://schemas.openxmlformats.org/officeDocument/2006/relationships/hyperlink" Target="mailto:Quinton.L.Pittman@hud.gov" TargetMode="External"/><Relationship Id="rId129" Type="http://schemas.openxmlformats.org/officeDocument/2006/relationships/hyperlink" Target="mailto:Donna.Crowley@hud.gov" TargetMode="External"/><Relationship Id="rId54" Type="http://schemas.openxmlformats.org/officeDocument/2006/relationships/hyperlink" Target="mailto:Lesley.W.Williams@hud.gov" TargetMode="External"/><Relationship Id="rId70" Type="http://schemas.openxmlformats.org/officeDocument/2006/relationships/hyperlink" Target="mailto:Tiffany.M.Brogan-clement@hud.gov" TargetMode="External"/><Relationship Id="rId75" Type="http://schemas.openxmlformats.org/officeDocument/2006/relationships/hyperlink" Target="mailto:Gabe.A.Labovitz@hud.gov" TargetMode="External"/><Relationship Id="rId91" Type="http://schemas.openxmlformats.org/officeDocument/2006/relationships/hyperlink" Target="mailto:Marie.H.Perry@hud.gov" TargetMode="External"/><Relationship Id="rId96" Type="http://schemas.openxmlformats.org/officeDocument/2006/relationships/hyperlink" Target="mailto:Valerie.Perry@hud.gov" TargetMode="External"/><Relationship Id="rId140" Type="http://schemas.openxmlformats.org/officeDocument/2006/relationships/hyperlink" Target="mailto:Natalicia.Garcia@hud.gov" TargetMode="External"/><Relationship Id="rId145" Type="http://schemas.openxmlformats.org/officeDocument/2006/relationships/hyperlink" Target="mailto:Natalicia.Garcia@hud.gov" TargetMode="External"/><Relationship Id="rId161" Type="http://schemas.openxmlformats.org/officeDocument/2006/relationships/hyperlink" Target="mailto:Glay.E.Glay@hud.gov" TargetMode="External"/><Relationship Id="rId166" Type="http://schemas.openxmlformats.org/officeDocument/2006/relationships/hyperlink" Target="mailto:Terry.D.Lewis@hud.gov" TargetMode="External"/><Relationship Id="rId182" Type="http://schemas.openxmlformats.org/officeDocument/2006/relationships/printerSettings" Target="../printerSettings/printerSettings10.bin"/><Relationship Id="rId1" Type="http://schemas.openxmlformats.org/officeDocument/2006/relationships/hyperlink" Target="mailto:Wendy.Johnson@hud.gov" TargetMode="External"/><Relationship Id="rId6" Type="http://schemas.openxmlformats.org/officeDocument/2006/relationships/hyperlink" Target="mailto:Rodney.L.Johnson@hud.gov" TargetMode="External"/><Relationship Id="rId23" Type="http://schemas.openxmlformats.org/officeDocument/2006/relationships/hyperlink" Target="mailto:Nathan.S.Bossie@hud.gov" TargetMode="External"/><Relationship Id="rId28" Type="http://schemas.openxmlformats.org/officeDocument/2006/relationships/hyperlink" Target="mailto:Gabe.A.Labovitz@hud.gov" TargetMode="External"/><Relationship Id="rId49" Type="http://schemas.openxmlformats.org/officeDocument/2006/relationships/hyperlink" Target="mailto:Kenneth.R.Davis@hud.gov" TargetMode="External"/><Relationship Id="rId114" Type="http://schemas.openxmlformats.org/officeDocument/2006/relationships/hyperlink" Target="mailto:Thurmond.E.Long@hud.gov" TargetMode="External"/><Relationship Id="rId119" Type="http://schemas.openxmlformats.org/officeDocument/2006/relationships/hyperlink" Target="mailto:Qiana.K.Roberts@hud.gov" TargetMode="External"/><Relationship Id="rId44" Type="http://schemas.openxmlformats.org/officeDocument/2006/relationships/hyperlink" Target="mailto:Yvonne.G.Flores@hud.gov" TargetMode="External"/><Relationship Id="rId60" Type="http://schemas.openxmlformats.org/officeDocument/2006/relationships/hyperlink" Target="mailto:Sonya.E.Carter@hud.gov" TargetMode="External"/><Relationship Id="rId65" Type="http://schemas.openxmlformats.org/officeDocument/2006/relationships/hyperlink" Target="mailto:Wendy.Johnson@hud.gov" TargetMode="External"/><Relationship Id="rId81" Type="http://schemas.openxmlformats.org/officeDocument/2006/relationships/hyperlink" Target="mailto:Alexander.M.Din@hud.gov" TargetMode="External"/><Relationship Id="rId86" Type="http://schemas.openxmlformats.org/officeDocument/2006/relationships/hyperlink" Target="mailto:Kenneth.R.Davis@hud.gov" TargetMode="External"/><Relationship Id="rId130" Type="http://schemas.openxmlformats.org/officeDocument/2006/relationships/hyperlink" Target="mailto:Terry.D.Lewis@hud.gov" TargetMode="External"/><Relationship Id="rId135" Type="http://schemas.openxmlformats.org/officeDocument/2006/relationships/hyperlink" Target="mailto:Terry.D.Lewis@hud.gov" TargetMode="External"/><Relationship Id="rId151" Type="http://schemas.openxmlformats.org/officeDocument/2006/relationships/hyperlink" Target="mailto:Donna.Crowley@hud.gov" TargetMode="External"/><Relationship Id="rId156" Type="http://schemas.openxmlformats.org/officeDocument/2006/relationships/hyperlink" Target="mailto:Natalicia.Garcia@hud.gov" TargetMode="External"/><Relationship Id="rId177" Type="http://schemas.openxmlformats.org/officeDocument/2006/relationships/hyperlink" Target="mailto:Claude.C.Dickson@hud.gov" TargetMode="External"/><Relationship Id="rId4" Type="http://schemas.openxmlformats.org/officeDocument/2006/relationships/hyperlink" Target="mailto:Mitchell.L.Mccoy@hud.gov" TargetMode="External"/><Relationship Id="rId9" Type="http://schemas.openxmlformats.org/officeDocument/2006/relationships/hyperlink" Target="mailto:Tiffany.M.Brogan-clement@hud.gov" TargetMode="External"/><Relationship Id="rId172" Type="http://schemas.openxmlformats.org/officeDocument/2006/relationships/hyperlink" Target="mailto:Elizabeth.M.Cahall@hud.gov" TargetMode="External"/><Relationship Id="rId180" Type="http://schemas.openxmlformats.org/officeDocument/2006/relationships/hyperlink" Target="mailto:Bryan.Mclain@hud.gov" TargetMode="External"/><Relationship Id="rId13" Type="http://schemas.openxmlformats.org/officeDocument/2006/relationships/hyperlink" Target="mailto:Benita.D.Meadow@hud.gov" TargetMode="External"/><Relationship Id="rId18" Type="http://schemas.openxmlformats.org/officeDocument/2006/relationships/hyperlink" Target="mailto:Kee.N.Cheung@hud.gov" TargetMode="External"/><Relationship Id="rId39" Type="http://schemas.openxmlformats.org/officeDocument/2006/relationships/hyperlink" Target="mailto:Arthur.Harris1@hud.gov" TargetMode="External"/><Relationship Id="rId109" Type="http://schemas.openxmlformats.org/officeDocument/2006/relationships/hyperlink" Target="mailto:Valerie.Perry@hud.gov" TargetMode="External"/><Relationship Id="rId34" Type="http://schemas.openxmlformats.org/officeDocument/2006/relationships/hyperlink" Target="mailto:Mark.A.Reardon@hud.gov" TargetMode="External"/><Relationship Id="rId50" Type="http://schemas.openxmlformats.org/officeDocument/2006/relationships/hyperlink" Target="mailto:Kenneth.R.Davis@hud.gov" TargetMode="External"/><Relationship Id="rId55" Type="http://schemas.openxmlformats.org/officeDocument/2006/relationships/hyperlink" Target="mailto:Martha.E.Bullock@hud.gov" TargetMode="External"/><Relationship Id="rId76" Type="http://schemas.openxmlformats.org/officeDocument/2006/relationships/hyperlink" Target="mailto:Mark.A.Reardon@hud.gov" TargetMode="External"/><Relationship Id="rId97" Type="http://schemas.openxmlformats.org/officeDocument/2006/relationships/hyperlink" Target="mailto:Henri.P.Goodson@hud.gov" TargetMode="External"/><Relationship Id="rId104" Type="http://schemas.openxmlformats.org/officeDocument/2006/relationships/hyperlink" Target="mailto:Valerie.Perry@hud.gov" TargetMode="External"/><Relationship Id="rId120" Type="http://schemas.openxmlformats.org/officeDocument/2006/relationships/hyperlink" Target="mailto:Andrea.P.Phillip@hud.gov" TargetMode="External"/><Relationship Id="rId125" Type="http://schemas.openxmlformats.org/officeDocument/2006/relationships/hyperlink" Target="mailto:Quinton.L.Pittman@hud.gov" TargetMode="External"/><Relationship Id="rId141" Type="http://schemas.openxmlformats.org/officeDocument/2006/relationships/hyperlink" Target="mailto:Natalicia.Garcia@hud.gov" TargetMode="External"/><Relationship Id="rId146" Type="http://schemas.openxmlformats.org/officeDocument/2006/relationships/hyperlink" Target="mailto:Ayanna.S.Gibson@hud.gov" TargetMode="External"/><Relationship Id="rId167" Type="http://schemas.openxmlformats.org/officeDocument/2006/relationships/hyperlink" Target="mailto:Zenola.I.Holman-Malone@hud.gov" TargetMode="External"/><Relationship Id="rId7" Type="http://schemas.openxmlformats.org/officeDocument/2006/relationships/hyperlink" Target="mailto:Tiffany.M.Brogan-clement@hud.gov" TargetMode="External"/><Relationship Id="rId71" Type="http://schemas.openxmlformats.org/officeDocument/2006/relationships/hyperlink" Target="mailto:Jeffrey.P.Horton@hud.gov" TargetMode="External"/><Relationship Id="rId92" Type="http://schemas.openxmlformats.org/officeDocument/2006/relationships/hyperlink" Target="mailto:Martha.E.Bullock@hud.gov" TargetMode="External"/><Relationship Id="rId162" Type="http://schemas.openxmlformats.org/officeDocument/2006/relationships/hyperlink" Target="mailto:Terry.D.Lewis@hud.gov" TargetMode="External"/><Relationship Id="rId183" Type="http://schemas.openxmlformats.org/officeDocument/2006/relationships/table" Target="../tables/table1.xml"/><Relationship Id="rId2" Type="http://schemas.openxmlformats.org/officeDocument/2006/relationships/hyperlink" Target="mailto:Wendy.Johnson@hud.gov" TargetMode="External"/><Relationship Id="rId29" Type="http://schemas.openxmlformats.org/officeDocument/2006/relationships/hyperlink" Target="mailto:Regina.C.Gray@hud.gov" TargetMode="External"/><Relationship Id="rId24" Type="http://schemas.openxmlformats.org/officeDocument/2006/relationships/hyperlink" Target="mailto:Anne.L.Fletcher@hud.gov" TargetMode="External"/><Relationship Id="rId40" Type="http://schemas.openxmlformats.org/officeDocument/2006/relationships/hyperlink" Target="mailto:Ciara.J.Scott2@hud.gov" TargetMode="External"/><Relationship Id="rId45" Type="http://schemas.openxmlformats.org/officeDocument/2006/relationships/hyperlink" Target="mailto:Yvonne.G.Flores@hud.gov" TargetMode="External"/><Relationship Id="rId66" Type="http://schemas.openxmlformats.org/officeDocument/2006/relationships/hyperlink" Target="mailto:Mitchell.L.Mccoy@hud.gov" TargetMode="External"/><Relationship Id="rId87" Type="http://schemas.openxmlformats.org/officeDocument/2006/relationships/hyperlink" Target="mailto:Kenneth.R.Davis@hud.gov" TargetMode="External"/><Relationship Id="rId110" Type="http://schemas.openxmlformats.org/officeDocument/2006/relationships/hyperlink" Target="mailto:Valerie.Perry@hud.gov" TargetMode="External"/><Relationship Id="rId115" Type="http://schemas.openxmlformats.org/officeDocument/2006/relationships/hyperlink" Target="mailto:Zenola.I.Holman-Malone@hud.gov" TargetMode="External"/><Relationship Id="rId131" Type="http://schemas.openxmlformats.org/officeDocument/2006/relationships/hyperlink" Target="mailto:Terry.D.Lewis@hud.gov" TargetMode="External"/><Relationship Id="rId136" Type="http://schemas.openxmlformats.org/officeDocument/2006/relationships/hyperlink" Target="mailto:Terry.D.Lewis@hud.gov" TargetMode="External"/><Relationship Id="rId157" Type="http://schemas.openxmlformats.org/officeDocument/2006/relationships/hyperlink" Target="mailto:Ayanna.S.Gibson@hud.gov" TargetMode="External"/><Relationship Id="rId178" Type="http://schemas.openxmlformats.org/officeDocument/2006/relationships/hyperlink" Target="mailto:Jonelle.T.Fearon@hud.gov" TargetMode="External"/><Relationship Id="rId61" Type="http://schemas.openxmlformats.org/officeDocument/2006/relationships/hyperlink" Target="mailto:Sarah.M.Lyke@hud.gov" TargetMode="External"/><Relationship Id="rId82" Type="http://schemas.openxmlformats.org/officeDocument/2006/relationships/hyperlink" Target="mailto:Eric.C.Erickson@hud.gov" TargetMode="External"/><Relationship Id="rId152" Type="http://schemas.openxmlformats.org/officeDocument/2006/relationships/hyperlink" Target="mailto:Michael.A.Moment@hud.gov" TargetMode="External"/><Relationship Id="rId173" Type="http://schemas.openxmlformats.org/officeDocument/2006/relationships/hyperlink" Target="mailto:Elisha.M.Smith@hud.gov" TargetMode="External"/><Relationship Id="rId19" Type="http://schemas.openxmlformats.org/officeDocument/2006/relationships/hyperlink" Target="mailto:Tomasz.M.Kukawski@hud.gov" TargetMode="External"/><Relationship Id="rId14" Type="http://schemas.openxmlformats.org/officeDocument/2006/relationships/hyperlink" Target="mailto:Michael.S.Raschiatore@hud.gov" TargetMode="External"/><Relationship Id="rId30" Type="http://schemas.openxmlformats.org/officeDocument/2006/relationships/hyperlink" Target="mailto:Teresa.Souza@hud.gov" TargetMode="External"/><Relationship Id="rId35" Type="http://schemas.openxmlformats.org/officeDocument/2006/relationships/hyperlink" Target="mailto:Valerie.Perry@hud.gov" TargetMode="External"/><Relationship Id="rId56" Type="http://schemas.openxmlformats.org/officeDocument/2006/relationships/hyperlink" Target="mailto:Martha.E.Bullock@hud.gov" TargetMode="External"/><Relationship Id="rId77" Type="http://schemas.openxmlformats.org/officeDocument/2006/relationships/hyperlink" Target="mailto:Jagruti.D.Rekhi@hud.gov" TargetMode="External"/><Relationship Id="rId100" Type="http://schemas.openxmlformats.org/officeDocument/2006/relationships/hyperlink" Target="mailto:Valerie.Perry@hud.gov" TargetMode="External"/><Relationship Id="rId105" Type="http://schemas.openxmlformats.org/officeDocument/2006/relationships/hyperlink" Target="mailto:Angela.M.Hughes@hud.gov" TargetMode="External"/><Relationship Id="rId126" Type="http://schemas.openxmlformats.org/officeDocument/2006/relationships/hyperlink" Target="mailto:Michael.A.Moment@hud.gov" TargetMode="External"/><Relationship Id="rId147" Type="http://schemas.openxmlformats.org/officeDocument/2006/relationships/hyperlink" Target="mailto:Ayanna.S.Gibson@hud.gov" TargetMode="External"/><Relationship Id="rId168" Type="http://schemas.openxmlformats.org/officeDocument/2006/relationships/hyperlink" Target="mailto:Michael.T.Demarco@hud.gov" TargetMode="External"/><Relationship Id="rId8" Type="http://schemas.openxmlformats.org/officeDocument/2006/relationships/hyperlink" Target="mailto:Tiffany.M.Brogan-clement@hud.gov" TargetMode="External"/><Relationship Id="rId51" Type="http://schemas.openxmlformats.org/officeDocument/2006/relationships/hyperlink" Target="mailto:Kenneth.R.Davis@hud.gov" TargetMode="External"/><Relationship Id="rId72" Type="http://schemas.openxmlformats.org/officeDocument/2006/relationships/hyperlink" Target="mailto:Marcia.M.Parks@hud.gov" TargetMode="External"/><Relationship Id="rId93" Type="http://schemas.openxmlformats.org/officeDocument/2006/relationships/hyperlink" Target="mailto:Sarah.M.Lyke@hud.gov" TargetMode="External"/><Relationship Id="rId98" Type="http://schemas.openxmlformats.org/officeDocument/2006/relationships/hyperlink" Target="mailto:Valerie.Perry@hud.gov" TargetMode="External"/><Relationship Id="rId121" Type="http://schemas.openxmlformats.org/officeDocument/2006/relationships/hyperlink" Target="mailto:Quinton.L.Pittman@hud.gov" TargetMode="External"/><Relationship Id="rId142" Type="http://schemas.openxmlformats.org/officeDocument/2006/relationships/hyperlink" Target="mailto:Deborah.K.Thompson@hud.gov" TargetMode="External"/><Relationship Id="rId163" Type="http://schemas.openxmlformats.org/officeDocument/2006/relationships/hyperlink" Target="mailto:Terry.D.Lewis@hud.gov" TargetMode="External"/><Relationship Id="rId3" Type="http://schemas.openxmlformats.org/officeDocument/2006/relationships/hyperlink" Target="mailto:Wendy.Johnson@hud.gov" TargetMode="External"/><Relationship Id="rId25" Type="http://schemas.openxmlformats.org/officeDocument/2006/relationships/hyperlink" Target="mailto:Amanda.R.Gold@hud.gov" TargetMode="External"/><Relationship Id="rId46" Type="http://schemas.openxmlformats.org/officeDocument/2006/relationships/hyperlink" Target="mailto:Harold.D.Owens@hud.gov" TargetMode="External"/><Relationship Id="rId67" Type="http://schemas.openxmlformats.org/officeDocument/2006/relationships/hyperlink" Target="mailto:Furman.H.Leopard@hud.gov" TargetMode="External"/><Relationship Id="rId116" Type="http://schemas.openxmlformats.org/officeDocument/2006/relationships/hyperlink" Target="mailto:Olamide.O.Adewole@hud.gov" TargetMode="External"/><Relationship Id="rId137" Type="http://schemas.openxmlformats.org/officeDocument/2006/relationships/hyperlink" Target="mailto:Glay.E.Glay@hud.gov" TargetMode="External"/><Relationship Id="rId158" Type="http://schemas.openxmlformats.org/officeDocument/2006/relationships/hyperlink" Target="mailto:Ayanna.S.Gibson@hud.gov" TargetMode="External"/><Relationship Id="rId20" Type="http://schemas.openxmlformats.org/officeDocument/2006/relationships/hyperlink" Target="mailto:Jagruti.D.Rekhi@hud.gov" TargetMode="External"/><Relationship Id="rId41" Type="http://schemas.openxmlformats.org/officeDocument/2006/relationships/hyperlink" Target="mailto:Jenna.Sappenfield@hud.gov" TargetMode="External"/><Relationship Id="rId62" Type="http://schemas.openxmlformats.org/officeDocument/2006/relationships/hyperlink" Target="mailto:Sarah.M.Lyke@hud.gov" TargetMode="External"/><Relationship Id="rId83" Type="http://schemas.openxmlformats.org/officeDocument/2006/relationships/hyperlink" Target="mailto:Valerie.Perry@hud.gov" TargetMode="External"/><Relationship Id="rId88" Type="http://schemas.openxmlformats.org/officeDocument/2006/relationships/hyperlink" Target="mailto:Deborah.M.Lawrence-Wilson@hud.gov" TargetMode="External"/><Relationship Id="rId111" Type="http://schemas.openxmlformats.org/officeDocument/2006/relationships/hyperlink" Target="mailto:Valentina.A.Zabrovskaya@hud.gov" TargetMode="External"/><Relationship Id="rId132" Type="http://schemas.openxmlformats.org/officeDocument/2006/relationships/hyperlink" Target="mailto:Terry.D.Lewis@hud.gov" TargetMode="External"/><Relationship Id="rId153" Type="http://schemas.openxmlformats.org/officeDocument/2006/relationships/hyperlink" Target="mailto:Michael.A.Moment@hud.gov" TargetMode="External"/><Relationship Id="rId174" Type="http://schemas.openxmlformats.org/officeDocument/2006/relationships/hyperlink" Target="mailto:Keith.R.Clay@hud.gov" TargetMode="External"/><Relationship Id="rId179" Type="http://schemas.openxmlformats.org/officeDocument/2006/relationships/hyperlink" Target="mailto:Bryan.Mclain@hud.gov" TargetMode="External"/><Relationship Id="rId15" Type="http://schemas.openxmlformats.org/officeDocument/2006/relationships/hyperlink" Target="mailto:Malita.M.Dyson@hud.gov" TargetMode="External"/><Relationship Id="rId36" Type="http://schemas.openxmlformats.org/officeDocument/2006/relationships/hyperlink" Target="mailto:Valerie.Perry@hud.gov" TargetMode="External"/><Relationship Id="rId57" Type="http://schemas.openxmlformats.org/officeDocument/2006/relationships/hyperlink" Target="mailto:Martha.E.Bullock@hud.gov" TargetMode="External"/><Relationship Id="rId106" Type="http://schemas.openxmlformats.org/officeDocument/2006/relationships/hyperlink" Target="mailto:Michael.Davenport@hud.gov" TargetMode="External"/><Relationship Id="rId127" Type="http://schemas.openxmlformats.org/officeDocument/2006/relationships/hyperlink" Target="mailto:Carol.Leslie@hud.gov" TargetMode="External"/><Relationship Id="rId10" Type="http://schemas.openxmlformats.org/officeDocument/2006/relationships/hyperlink" Target="mailto:Shonta.D.Dawkins@hud.gov" TargetMode="External"/><Relationship Id="rId31" Type="http://schemas.openxmlformats.org/officeDocument/2006/relationships/hyperlink" Target="mailto:Elizabeth.C.Rudd@hud.gov" TargetMode="External"/><Relationship Id="rId52" Type="http://schemas.openxmlformats.org/officeDocument/2006/relationships/hyperlink" Target="mailto:Deborah.M.Lawrence-Wilson@hud.gov" TargetMode="External"/><Relationship Id="rId73" Type="http://schemas.openxmlformats.org/officeDocument/2006/relationships/hyperlink" Target="mailto:Gina.E.Lassiter@hud.gov" TargetMode="External"/><Relationship Id="rId78" Type="http://schemas.openxmlformats.org/officeDocument/2006/relationships/hyperlink" Target="mailto:Marina.L.Myhre@hud.gov" TargetMode="External"/><Relationship Id="rId94" Type="http://schemas.openxmlformats.org/officeDocument/2006/relationships/hyperlink" Target="mailto:Sherra.L.Jackson@hud.gov" TargetMode="External"/><Relationship Id="rId99" Type="http://schemas.openxmlformats.org/officeDocument/2006/relationships/hyperlink" Target="mailto:Valerie.Perry@hud.gov" TargetMode="External"/><Relationship Id="rId101" Type="http://schemas.openxmlformats.org/officeDocument/2006/relationships/hyperlink" Target="mailto:Valerie.Perry@hud.gov" TargetMode="External"/><Relationship Id="rId122" Type="http://schemas.openxmlformats.org/officeDocument/2006/relationships/hyperlink" Target="mailto:Quinton.L.Pittman@hud.gov" TargetMode="External"/><Relationship Id="rId143" Type="http://schemas.openxmlformats.org/officeDocument/2006/relationships/hyperlink" Target="mailto:Deborah.K.Thompson@hud.gov" TargetMode="External"/><Relationship Id="rId148" Type="http://schemas.openxmlformats.org/officeDocument/2006/relationships/hyperlink" Target="mailto:Olamide.O.Adewole@hud.gov" TargetMode="External"/><Relationship Id="rId164" Type="http://schemas.openxmlformats.org/officeDocument/2006/relationships/hyperlink" Target="mailto:Terry.D.Lewis@hud.gov" TargetMode="External"/><Relationship Id="rId169" Type="http://schemas.openxmlformats.org/officeDocument/2006/relationships/hyperlink" Target="mailto:Roscoe.D.Brunson@hud.gov"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Doan.H.LyNguyen@hud.gov" TargetMode="External"/><Relationship Id="rId7" Type="http://schemas.openxmlformats.org/officeDocument/2006/relationships/printerSettings" Target="../printerSettings/printerSettings5.bin"/><Relationship Id="rId2" Type="http://schemas.openxmlformats.org/officeDocument/2006/relationships/hyperlink" Target="mailto:Sharon.L.Washington@hud.gov" TargetMode="External"/><Relationship Id="rId1" Type="http://schemas.openxmlformats.org/officeDocument/2006/relationships/hyperlink" Target="mailto:Meishoma.A.Hayes@hud.gov" TargetMode="External"/><Relationship Id="rId6" Type="http://schemas.openxmlformats.org/officeDocument/2006/relationships/hyperlink" Target="mailto:Derek.L.Pruitt@hud.gov" TargetMode="External"/><Relationship Id="rId5" Type="http://schemas.openxmlformats.org/officeDocument/2006/relationships/hyperlink" Target="mailto:Adrian.C.Blackman@hud.gov" TargetMode="External"/><Relationship Id="rId4" Type="http://schemas.openxmlformats.org/officeDocument/2006/relationships/hyperlink" Target="mailto:Gary.F.Staffieri@hud.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21768-C970-4C6B-8E7A-320DDB7C8957}">
  <sheetPr codeName="Sheet1"/>
  <dimension ref="A1:T27"/>
  <sheetViews>
    <sheetView tabSelected="1" zoomScaleNormal="100" zoomScaleSheetLayoutView="100" workbookViewId="0">
      <selection sqref="A1:R1"/>
    </sheetView>
  </sheetViews>
  <sheetFormatPr defaultColWidth="8.6640625" defaultRowHeight="14.4" x14ac:dyDescent="0.3"/>
  <cols>
    <col min="1" max="1" width="8.6640625" customWidth="1"/>
  </cols>
  <sheetData>
    <row r="1" spans="1:20" ht="21.75" customHeight="1" thickBot="1" x14ac:dyDescent="0.35">
      <c r="A1" s="107" t="s">
        <v>0</v>
      </c>
      <c r="B1" s="108"/>
      <c r="C1" s="108"/>
      <c r="D1" s="108"/>
      <c r="E1" s="108"/>
      <c r="F1" s="108"/>
      <c r="G1" s="108"/>
      <c r="H1" s="108"/>
      <c r="I1" s="108"/>
      <c r="J1" s="108"/>
      <c r="K1" s="108"/>
      <c r="L1" s="108"/>
      <c r="M1" s="108"/>
      <c r="N1" s="108"/>
      <c r="O1" s="109"/>
    </row>
    <row r="3" spans="1:20" ht="22.8" x14ac:dyDescent="0.3">
      <c r="A3" s="110" t="s">
        <v>1</v>
      </c>
      <c r="B3" s="110"/>
      <c r="C3" s="110"/>
      <c r="D3" s="110"/>
      <c r="E3" s="110"/>
      <c r="F3" s="110"/>
      <c r="G3" s="110"/>
      <c r="H3" s="110"/>
      <c r="I3" s="110"/>
      <c r="J3" s="110"/>
      <c r="K3" s="110"/>
      <c r="L3" s="110"/>
      <c r="M3" s="110"/>
      <c r="N3" s="110"/>
      <c r="O3" s="110"/>
    </row>
    <row r="4" spans="1:20" ht="14.1" customHeight="1" x14ac:dyDescent="0.3">
      <c r="B4" s="17"/>
    </row>
    <row r="9" spans="1:20" x14ac:dyDescent="0.3">
      <c r="T9" s="20"/>
    </row>
    <row r="16" spans="1:20" ht="27.75" customHeight="1" x14ac:dyDescent="0.3">
      <c r="A16" s="112" t="s">
        <v>272</v>
      </c>
      <c r="B16" s="112"/>
      <c r="C16" s="112"/>
      <c r="D16" s="112"/>
      <c r="E16" s="112"/>
      <c r="F16" s="112"/>
      <c r="G16" s="112"/>
      <c r="H16" s="112"/>
      <c r="I16" s="112"/>
      <c r="J16" s="112"/>
      <c r="K16" s="112"/>
      <c r="L16" s="112"/>
      <c r="M16" s="112"/>
      <c r="N16" s="112"/>
      <c r="O16" s="112"/>
    </row>
    <row r="17" spans="1:15" ht="28.2" customHeight="1" x14ac:dyDescent="0.3">
      <c r="B17" s="178"/>
    </row>
    <row r="18" spans="1:15" s="18" customFormat="1" ht="23.4" x14ac:dyDescent="0.45">
      <c r="A18" s="110" t="s">
        <v>2</v>
      </c>
      <c r="B18" s="110"/>
      <c r="C18" s="110"/>
      <c r="D18" s="110"/>
      <c r="E18" s="110"/>
      <c r="F18" s="110"/>
      <c r="G18" s="110"/>
      <c r="H18" s="110"/>
      <c r="I18" s="110"/>
      <c r="J18" s="110"/>
      <c r="K18" s="110"/>
      <c r="L18" s="110"/>
      <c r="M18" s="110"/>
      <c r="N18" s="110"/>
      <c r="O18" s="110"/>
    </row>
    <row r="19" spans="1:15" s="18" customFormat="1" ht="16.5" customHeight="1" x14ac:dyDescent="0.45">
      <c r="B19" s="19"/>
    </row>
    <row r="20" spans="1:15" ht="20.399999999999999" x14ac:dyDescent="0.3">
      <c r="A20" s="157">
        <v>45194</v>
      </c>
      <c r="B20" s="157"/>
      <c r="C20" s="157"/>
      <c r="D20" s="157"/>
      <c r="E20" s="157"/>
      <c r="F20" s="157"/>
      <c r="G20" s="157"/>
      <c r="H20" s="157"/>
      <c r="I20" s="157"/>
      <c r="J20" s="157"/>
      <c r="K20" s="157"/>
      <c r="L20" s="157"/>
      <c r="M20" s="157"/>
      <c r="N20" s="157"/>
      <c r="O20" s="157"/>
    </row>
    <row r="21" spans="1:15" ht="20.399999999999999" x14ac:dyDescent="0.3">
      <c r="A21" s="158" t="s">
        <v>273</v>
      </c>
      <c r="B21" s="158"/>
      <c r="C21" s="158"/>
      <c r="D21" s="158"/>
      <c r="E21" s="158"/>
      <c r="F21" s="158"/>
      <c r="G21" s="158"/>
      <c r="H21" s="158"/>
      <c r="I21" s="158"/>
      <c r="J21" s="158"/>
      <c r="K21" s="158"/>
      <c r="L21" s="158"/>
      <c r="M21" s="158"/>
      <c r="N21" s="158"/>
      <c r="O21" s="158"/>
    </row>
    <row r="23" spans="1:15" ht="15.6" x14ac:dyDescent="0.3">
      <c r="A23" s="111" t="s">
        <v>3</v>
      </c>
      <c r="B23" s="111"/>
      <c r="C23" s="111"/>
      <c r="D23" s="111"/>
      <c r="E23" s="111"/>
      <c r="F23" s="111"/>
      <c r="G23" s="111"/>
      <c r="H23" s="111"/>
      <c r="I23" s="111"/>
      <c r="J23" s="111"/>
      <c r="K23" s="111"/>
      <c r="L23" s="111"/>
      <c r="M23" s="111"/>
      <c r="N23" s="111"/>
      <c r="O23" s="111"/>
    </row>
    <row r="24" spans="1:15" ht="15.6" x14ac:dyDescent="0.3">
      <c r="A24" s="105" t="s">
        <v>4</v>
      </c>
      <c r="B24" s="105"/>
      <c r="C24" s="105"/>
      <c r="D24" s="105"/>
      <c r="E24" s="105"/>
      <c r="F24" s="105"/>
      <c r="G24" s="105"/>
      <c r="H24" s="105"/>
      <c r="I24" s="105"/>
      <c r="J24" s="105"/>
      <c r="K24" s="105"/>
      <c r="L24" s="105"/>
      <c r="M24" s="105"/>
      <c r="N24" s="105"/>
      <c r="O24" s="105"/>
    </row>
    <row r="25" spans="1:15" ht="15.6" x14ac:dyDescent="0.3">
      <c r="A25" s="84"/>
      <c r="B25" s="84"/>
      <c r="C25" s="84"/>
      <c r="D25" s="84"/>
      <c r="E25" s="84"/>
      <c r="F25" s="84"/>
      <c r="G25" s="84"/>
      <c r="H25" s="84"/>
      <c r="I25" s="84"/>
      <c r="J25" s="84"/>
      <c r="K25" s="84"/>
      <c r="L25" s="84"/>
      <c r="M25" s="84"/>
      <c r="N25" s="84"/>
      <c r="O25" s="84"/>
    </row>
    <row r="27" spans="1:15" ht="81.599999999999994" customHeight="1" x14ac:dyDescent="0.3">
      <c r="A27" s="106" t="s">
        <v>5</v>
      </c>
      <c r="B27" s="106"/>
      <c r="C27" s="106"/>
      <c r="D27" s="106"/>
      <c r="E27" s="106"/>
      <c r="F27" s="106"/>
      <c r="G27" s="106"/>
      <c r="H27" s="106"/>
      <c r="I27" s="106"/>
      <c r="J27" s="106"/>
      <c r="K27" s="106"/>
      <c r="L27" s="106"/>
      <c r="M27" s="106"/>
      <c r="N27" s="106"/>
      <c r="O27" s="106"/>
    </row>
  </sheetData>
  <mergeCells count="9">
    <mergeCell ref="A24:O24"/>
    <mergeCell ref="A27:O27"/>
    <mergeCell ref="A1:O1"/>
    <mergeCell ref="A3:O3"/>
    <mergeCell ref="A18:O18"/>
    <mergeCell ref="A20:O20"/>
    <mergeCell ref="A21:O21"/>
    <mergeCell ref="A23:O23"/>
    <mergeCell ref="A16:O16"/>
  </mergeCells>
  <hyperlinks>
    <hyperlink ref="A24" r:id="rId1" xr:uid="{6C65B895-481E-481D-8A18-2F27935C41E9}"/>
  </hyperlinks>
  <pageMargins left="0.25" right="0.25" top="0.25" bottom="0.3" header="0.15" footer="0.15"/>
  <pageSetup scale="61" orientation="landscape" r:id="rId2"/>
  <headerFooter>
    <oddFooter>&amp;C9/25/23 - Version 1&amp;R&amp;P</oddFooter>
    <evenFooter>&amp;Cvi</even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L239"/>
  <sheetViews>
    <sheetView zoomScale="90" zoomScaleNormal="90" zoomScaleSheetLayoutView="70" workbookViewId="0">
      <selection sqref="A1:R1"/>
    </sheetView>
  </sheetViews>
  <sheetFormatPr defaultColWidth="47.33203125" defaultRowHeight="13.8" x14ac:dyDescent="0.3"/>
  <cols>
    <col min="1" max="1" width="13.88671875" style="70" customWidth="1"/>
    <col min="2" max="2" width="6.6640625" style="70" customWidth="1"/>
    <col min="3" max="3" width="16.33203125" style="70" customWidth="1"/>
    <col min="4" max="4" width="14" style="70" customWidth="1"/>
    <col min="5" max="5" width="52.33203125" style="73" customWidth="1"/>
    <col min="6" max="6" width="13.44140625" style="99" customWidth="1"/>
    <col min="7" max="7" width="17.5546875" style="76" customWidth="1"/>
    <col min="8" max="8" width="15.33203125" style="70" customWidth="1"/>
    <col min="9" max="9" width="30.77734375" style="96" customWidth="1"/>
    <col min="10" max="11" width="13.5546875" style="76" customWidth="1"/>
    <col min="12" max="12" width="10.44140625" style="76" customWidth="1"/>
    <col min="13" max="13" width="11.33203125" style="71" customWidth="1"/>
    <col min="14" max="26" width="12.33203125" style="71" customWidth="1"/>
    <col min="27" max="16384" width="47.33203125" style="71"/>
  </cols>
  <sheetData>
    <row r="1" spans="1:12" ht="21" thickBot="1" x14ac:dyDescent="0.35">
      <c r="A1" s="136" t="s">
        <v>108</v>
      </c>
      <c r="B1" s="137"/>
      <c r="C1" s="137"/>
      <c r="D1" s="137"/>
      <c r="E1" s="137"/>
      <c r="F1" s="137"/>
      <c r="G1" s="137"/>
      <c r="H1" s="137"/>
      <c r="I1" s="137"/>
      <c r="J1" s="137"/>
      <c r="K1" s="137"/>
      <c r="L1" s="138"/>
    </row>
    <row r="2" spans="1:12" ht="20.399999999999999" x14ac:dyDescent="0.3">
      <c r="A2" s="101" t="s">
        <v>109</v>
      </c>
      <c r="B2" s="101"/>
      <c r="C2" s="103" t="s">
        <v>110</v>
      </c>
      <c r="D2" s="100" t="s">
        <v>111</v>
      </c>
      <c r="E2" s="83" t="s">
        <v>112</v>
      </c>
      <c r="F2" s="102"/>
      <c r="G2" s="98"/>
      <c r="H2" s="95"/>
      <c r="I2" s="95"/>
      <c r="J2" s="95"/>
      <c r="K2" s="95"/>
      <c r="L2" s="97"/>
    </row>
    <row r="3" spans="1:12" s="34" customFormat="1" ht="69" x14ac:dyDescent="0.3">
      <c r="A3" s="159" t="s">
        <v>113</v>
      </c>
      <c r="B3" s="159" t="s">
        <v>810</v>
      </c>
      <c r="C3" s="159" t="s">
        <v>114</v>
      </c>
      <c r="D3" s="160" t="s">
        <v>115</v>
      </c>
      <c r="E3" s="159" t="s">
        <v>116</v>
      </c>
      <c r="F3" s="161" t="s">
        <v>117</v>
      </c>
      <c r="G3" s="160" t="s">
        <v>118</v>
      </c>
      <c r="H3" s="159" t="s">
        <v>119</v>
      </c>
      <c r="I3" s="159" t="s">
        <v>120</v>
      </c>
      <c r="J3" s="159" t="s">
        <v>121</v>
      </c>
      <c r="K3" s="159" t="s">
        <v>122</v>
      </c>
      <c r="L3" s="159" t="s">
        <v>123</v>
      </c>
    </row>
    <row r="4" spans="1:12" ht="27.6" x14ac:dyDescent="0.3">
      <c r="A4" s="162" t="s">
        <v>124</v>
      </c>
      <c r="B4" s="162">
        <v>2024</v>
      </c>
      <c r="C4" s="162" t="s">
        <v>275</v>
      </c>
      <c r="D4" s="162" t="s">
        <v>125</v>
      </c>
      <c r="E4" s="163" t="s">
        <v>276</v>
      </c>
      <c r="F4" s="164" t="s">
        <v>297</v>
      </c>
      <c r="G4" s="162" t="s">
        <v>143</v>
      </c>
      <c r="H4" s="162" t="s">
        <v>151</v>
      </c>
      <c r="I4" s="165" t="s">
        <v>131</v>
      </c>
      <c r="J4" s="166">
        <v>45501</v>
      </c>
      <c r="K4" s="166">
        <v>45541</v>
      </c>
      <c r="L4" s="162" t="s">
        <v>128</v>
      </c>
    </row>
    <row r="5" spans="1:12" ht="41.4" x14ac:dyDescent="0.3">
      <c r="A5" s="162" t="s">
        <v>124</v>
      </c>
      <c r="B5" s="162">
        <v>2024</v>
      </c>
      <c r="C5" s="162" t="s">
        <v>277</v>
      </c>
      <c r="D5" s="162" t="s">
        <v>125</v>
      </c>
      <c r="E5" s="163" t="s">
        <v>278</v>
      </c>
      <c r="F5" s="167" t="s">
        <v>827</v>
      </c>
      <c r="G5" s="162" t="s">
        <v>137</v>
      </c>
      <c r="H5" s="162" t="s">
        <v>127</v>
      </c>
      <c r="I5" s="165" t="s">
        <v>131</v>
      </c>
      <c r="J5" s="166">
        <v>45442</v>
      </c>
      <c r="K5" s="166">
        <v>45482</v>
      </c>
      <c r="L5" s="162" t="s">
        <v>128</v>
      </c>
    </row>
    <row r="6" spans="1:12" ht="55.2" x14ac:dyDescent="0.3">
      <c r="A6" s="162" t="s">
        <v>124</v>
      </c>
      <c r="B6" s="162">
        <v>2024</v>
      </c>
      <c r="C6" s="162" t="s">
        <v>279</v>
      </c>
      <c r="D6" s="162" t="s">
        <v>125</v>
      </c>
      <c r="E6" s="163" t="s">
        <v>280</v>
      </c>
      <c r="F6" s="167" t="s">
        <v>281</v>
      </c>
      <c r="G6" s="162" t="s">
        <v>129</v>
      </c>
      <c r="H6" s="162" t="s">
        <v>156</v>
      </c>
      <c r="I6" s="165" t="s">
        <v>131</v>
      </c>
      <c r="J6" s="166">
        <v>45352</v>
      </c>
      <c r="K6" s="166">
        <v>45504</v>
      </c>
      <c r="L6" s="162" t="s">
        <v>128</v>
      </c>
    </row>
    <row r="7" spans="1:12" ht="55.2" x14ac:dyDescent="0.3">
      <c r="A7" s="162" t="s">
        <v>124</v>
      </c>
      <c r="B7" s="162">
        <v>2024</v>
      </c>
      <c r="C7" s="162" t="s">
        <v>282</v>
      </c>
      <c r="D7" s="162" t="s">
        <v>125</v>
      </c>
      <c r="E7" s="163" t="s">
        <v>283</v>
      </c>
      <c r="F7" s="167" t="s">
        <v>284</v>
      </c>
      <c r="G7" s="162" t="s">
        <v>163</v>
      </c>
      <c r="H7" s="162" t="s">
        <v>156</v>
      </c>
      <c r="I7" s="165" t="s">
        <v>131</v>
      </c>
      <c r="J7" s="166">
        <v>45321</v>
      </c>
      <c r="K7" s="166">
        <v>45530</v>
      </c>
      <c r="L7" s="162" t="s">
        <v>128</v>
      </c>
    </row>
    <row r="8" spans="1:12" ht="55.2" x14ac:dyDescent="0.3">
      <c r="A8" s="162" t="s">
        <v>124</v>
      </c>
      <c r="B8" s="162">
        <v>2024</v>
      </c>
      <c r="C8" s="162" t="s">
        <v>285</v>
      </c>
      <c r="D8" s="162" t="s">
        <v>125</v>
      </c>
      <c r="E8" s="163" t="s">
        <v>286</v>
      </c>
      <c r="F8" s="167" t="s">
        <v>827</v>
      </c>
      <c r="G8" s="162" t="s">
        <v>137</v>
      </c>
      <c r="H8" s="162" t="s">
        <v>130</v>
      </c>
      <c r="I8" s="165" t="s">
        <v>287</v>
      </c>
      <c r="J8" s="166">
        <v>45329</v>
      </c>
      <c r="K8" s="166">
        <v>45369</v>
      </c>
      <c r="L8" s="162" t="s">
        <v>128</v>
      </c>
    </row>
    <row r="9" spans="1:12" ht="55.2" x14ac:dyDescent="0.3">
      <c r="A9" s="162" t="s">
        <v>124</v>
      </c>
      <c r="B9" s="162">
        <v>2024</v>
      </c>
      <c r="C9" s="162" t="s">
        <v>288</v>
      </c>
      <c r="D9" s="162" t="s">
        <v>125</v>
      </c>
      <c r="E9" s="163" t="s">
        <v>289</v>
      </c>
      <c r="F9" s="167" t="s">
        <v>356</v>
      </c>
      <c r="G9" s="162" t="s">
        <v>126</v>
      </c>
      <c r="H9" s="162" t="s">
        <v>127</v>
      </c>
      <c r="I9" s="165" t="s">
        <v>287</v>
      </c>
      <c r="J9" s="166">
        <v>45482</v>
      </c>
      <c r="K9" s="166">
        <v>45532</v>
      </c>
      <c r="L9" s="162" t="s">
        <v>128</v>
      </c>
    </row>
    <row r="10" spans="1:12" ht="27.6" x14ac:dyDescent="0.3">
      <c r="A10" s="162" t="s">
        <v>124</v>
      </c>
      <c r="B10" s="162">
        <v>2024</v>
      </c>
      <c r="C10" s="162" t="s">
        <v>290</v>
      </c>
      <c r="D10" s="162" t="s">
        <v>139</v>
      </c>
      <c r="E10" s="163" t="s">
        <v>291</v>
      </c>
      <c r="F10" s="167" t="s">
        <v>292</v>
      </c>
      <c r="G10" s="162" t="s">
        <v>126</v>
      </c>
      <c r="H10" s="162" t="s">
        <v>127</v>
      </c>
      <c r="I10" s="165" t="s">
        <v>293</v>
      </c>
      <c r="J10" s="166">
        <v>45379</v>
      </c>
      <c r="K10" s="166">
        <v>45429</v>
      </c>
      <c r="L10" s="162" t="s">
        <v>294</v>
      </c>
    </row>
    <row r="11" spans="1:12" ht="55.2" x14ac:dyDescent="0.3">
      <c r="A11" s="162" t="s">
        <v>124</v>
      </c>
      <c r="B11" s="162">
        <v>2024</v>
      </c>
      <c r="C11" s="162" t="s">
        <v>295</v>
      </c>
      <c r="D11" s="162" t="s">
        <v>125</v>
      </c>
      <c r="E11" s="163" t="s">
        <v>296</v>
      </c>
      <c r="F11" s="167" t="s">
        <v>297</v>
      </c>
      <c r="G11" s="162" t="s">
        <v>143</v>
      </c>
      <c r="H11" s="162" t="s">
        <v>144</v>
      </c>
      <c r="I11" s="165" t="s">
        <v>298</v>
      </c>
      <c r="J11" s="166">
        <v>45361</v>
      </c>
      <c r="K11" s="166">
        <v>45481</v>
      </c>
      <c r="L11" s="162" t="s">
        <v>128</v>
      </c>
    </row>
    <row r="12" spans="1:12" ht="55.2" x14ac:dyDescent="0.3">
      <c r="A12" s="162" t="s">
        <v>124</v>
      </c>
      <c r="B12" s="162">
        <v>2024</v>
      </c>
      <c r="C12" s="162" t="s">
        <v>299</v>
      </c>
      <c r="D12" s="162" t="s">
        <v>125</v>
      </c>
      <c r="E12" s="163" t="s">
        <v>300</v>
      </c>
      <c r="F12" s="167" t="s">
        <v>301</v>
      </c>
      <c r="G12" s="162" t="s">
        <v>143</v>
      </c>
      <c r="H12" s="162" t="s">
        <v>133</v>
      </c>
      <c r="I12" s="165" t="s">
        <v>302</v>
      </c>
      <c r="J12" s="166">
        <v>45215</v>
      </c>
      <c r="K12" s="166">
        <v>45275</v>
      </c>
      <c r="L12" s="162" t="s">
        <v>128</v>
      </c>
    </row>
    <row r="13" spans="1:12" ht="41.4" x14ac:dyDescent="0.3">
      <c r="A13" s="162" t="s">
        <v>124</v>
      </c>
      <c r="B13" s="162">
        <v>2024</v>
      </c>
      <c r="C13" s="162" t="s">
        <v>303</v>
      </c>
      <c r="D13" s="162" t="s">
        <v>125</v>
      </c>
      <c r="E13" s="163" t="s">
        <v>304</v>
      </c>
      <c r="F13" s="167" t="s">
        <v>305</v>
      </c>
      <c r="G13" s="162" t="s">
        <v>137</v>
      </c>
      <c r="H13" s="162" t="s">
        <v>132</v>
      </c>
      <c r="I13" s="165" t="s">
        <v>302</v>
      </c>
      <c r="J13" s="166">
        <v>45466</v>
      </c>
      <c r="K13" s="166">
        <v>45505</v>
      </c>
      <c r="L13" s="162" t="s">
        <v>141</v>
      </c>
    </row>
    <row r="14" spans="1:12" ht="55.2" x14ac:dyDescent="0.3">
      <c r="A14" s="162" t="s">
        <v>124</v>
      </c>
      <c r="B14" s="162">
        <v>2024</v>
      </c>
      <c r="C14" s="162" t="s">
        <v>306</v>
      </c>
      <c r="D14" s="162" t="s">
        <v>125</v>
      </c>
      <c r="E14" s="163" t="s">
        <v>307</v>
      </c>
      <c r="F14" s="167" t="s">
        <v>308</v>
      </c>
      <c r="G14" s="162" t="s">
        <v>137</v>
      </c>
      <c r="H14" s="162" t="s">
        <v>156</v>
      </c>
      <c r="I14" s="165" t="s">
        <v>293</v>
      </c>
      <c r="J14" s="166">
        <v>45359</v>
      </c>
      <c r="K14" s="166">
        <v>45481</v>
      </c>
      <c r="L14" s="162" t="s">
        <v>141</v>
      </c>
    </row>
    <row r="15" spans="1:12" ht="69" x14ac:dyDescent="0.3">
      <c r="A15" s="162" t="s">
        <v>124</v>
      </c>
      <c r="B15" s="162">
        <v>2024</v>
      </c>
      <c r="C15" s="162" t="s">
        <v>309</v>
      </c>
      <c r="D15" s="162" t="s">
        <v>125</v>
      </c>
      <c r="E15" s="163" t="s">
        <v>310</v>
      </c>
      <c r="F15" s="167" t="s">
        <v>311</v>
      </c>
      <c r="G15" s="162" t="s">
        <v>137</v>
      </c>
      <c r="H15" s="162" t="s">
        <v>169</v>
      </c>
      <c r="I15" s="165" t="s">
        <v>298</v>
      </c>
      <c r="J15" s="166">
        <v>45366</v>
      </c>
      <c r="K15" s="166">
        <v>45488</v>
      </c>
      <c r="L15" s="162" t="s">
        <v>141</v>
      </c>
    </row>
    <row r="16" spans="1:12" ht="41.4" x14ac:dyDescent="0.3">
      <c r="A16" s="162" t="s">
        <v>850</v>
      </c>
      <c r="B16" s="162">
        <v>2024</v>
      </c>
      <c r="C16" s="162" t="s">
        <v>312</v>
      </c>
      <c r="D16" s="162" t="s">
        <v>125</v>
      </c>
      <c r="E16" s="163" t="s">
        <v>313</v>
      </c>
      <c r="F16" s="167" t="s">
        <v>149</v>
      </c>
      <c r="G16" s="162" t="s">
        <v>143</v>
      </c>
      <c r="H16" s="162" t="s">
        <v>136</v>
      </c>
      <c r="I16" s="165" t="s">
        <v>314</v>
      </c>
      <c r="J16" s="166">
        <v>45298</v>
      </c>
      <c r="K16" s="166">
        <v>45358</v>
      </c>
      <c r="L16" s="162" t="s">
        <v>128</v>
      </c>
    </row>
    <row r="17" spans="1:12" ht="55.2" x14ac:dyDescent="0.3">
      <c r="A17" s="162" t="s">
        <v>850</v>
      </c>
      <c r="B17" s="177">
        <v>2024</v>
      </c>
      <c r="C17" s="162" t="s">
        <v>315</v>
      </c>
      <c r="D17" s="162" t="s">
        <v>125</v>
      </c>
      <c r="E17" s="163" t="s">
        <v>316</v>
      </c>
      <c r="F17" s="167" t="s">
        <v>149</v>
      </c>
      <c r="G17" s="162" t="s">
        <v>143</v>
      </c>
      <c r="H17" s="162" t="s">
        <v>136</v>
      </c>
      <c r="I17" s="165" t="s">
        <v>314</v>
      </c>
      <c r="J17" s="166">
        <v>45415</v>
      </c>
      <c r="K17" s="166">
        <v>45475</v>
      </c>
      <c r="L17" s="162" t="s">
        <v>128</v>
      </c>
    </row>
    <row r="18" spans="1:12" ht="55.2" x14ac:dyDescent="0.3">
      <c r="A18" s="162" t="s">
        <v>138</v>
      </c>
      <c r="B18" s="162">
        <v>2024</v>
      </c>
      <c r="C18" s="162" t="s">
        <v>317</v>
      </c>
      <c r="D18" s="162" t="s">
        <v>125</v>
      </c>
      <c r="E18" s="163" t="s">
        <v>318</v>
      </c>
      <c r="F18" s="167" t="s">
        <v>319</v>
      </c>
      <c r="G18" s="162" t="s">
        <v>137</v>
      </c>
      <c r="H18" s="162" t="s">
        <v>178</v>
      </c>
      <c r="I18" s="165" t="s">
        <v>142</v>
      </c>
      <c r="J18" s="166">
        <v>45212</v>
      </c>
      <c r="K18" s="166">
        <v>45252</v>
      </c>
      <c r="L18" s="162" t="s">
        <v>128</v>
      </c>
    </row>
    <row r="19" spans="1:12" ht="55.2" x14ac:dyDescent="0.3">
      <c r="A19" s="162" t="s">
        <v>138</v>
      </c>
      <c r="B19" s="162">
        <v>2024</v>
      </c>
      <c r="C19" s="162" t="s">
        <v>320</v>
      </c>
      <c r="D19" s="162" t="s">
        <v>125</v>
      </c>
      <c r="E19" s="163" t="s">
        <v>321</v>
      </c>
      <c r="F19" s="167" t="s">
        <v>322</v>
      </c>
      <c r="G19" s="162" t="s">
        <v>126</v>
      </c>
      <c r="H19" s="162" t="s">
        <v>323</v>
      </c>
      <c r="I19" s="165" t="s">
        <v>142</v>
      </c>
      <c r="J19" s="166">
        <v>45171</v>
      </c>
      <c r="K19" s="166">
        <v>45291</v>
      </c>
      <c r="L19" s="162" t="s">
        <v>141</v>
      </c>
    </row>
    <row r="20" spans="1:12" ht="27.6" x14ac:dyDescent="0.3">
      <c r="A20" s="162" t="s">
        <v>138</v>
      </c>
      <c r="B20" s="162">
        <v>2024</v>
      </c>
      <c r="C20" s="162" t="s">
        <v>324</v>
      </c>
      <c r="D20" s="162" t="s">
        <v>139</v>
      </c>
      <c r="E20" s="163" t="s">
        <v>325</v>
      </c>
      <c r="F20" s="167" t="s">
        <v>326</v>
      </c>
      <c r="G20" s="162" t="s">
        <v>126</v>
      </c>
      <c r="H20" s="162" t="s">
        <v>127</v>
      </c>
      <c r="I20" s="165" t="s">
        <v>142</v>
      </c>
      <c r="J20" s="166">
        <v>45335</v>
      </c>
      <c r="K20" s="166">
        <v>45455</v>
      </c>
      <c r="L20" s="162" t="s">
        <v>147</v>
      </c>
    </row>
    <row r="21" spans="1:12" ht="27.6" x14ac:dyDescent="0.3">
      <c r="A21" s="162" t="s">
        <v>138</v>
      </c>
      <c r="B21" s="162">
        <v>2024</v>
      </c>
      <c r="C21" s="162" t="s">
        <v>327</v>
      </c>
      <c r="D21" s="162" t="s">
        <v>139</v>
      </c>
      <c r="E21" s="163" t="s">
        <v>328</v>
      </c>
      <c r="F21" s="167" t="s">
        <v>329</v>
      </c>
      <c r="G21" s="162" t="s">
        <v>137</v>
      </c>
      <c r="H21" s="162" t="s">
        <v>323</v>
      </c>
      <c r="I21" s="165" t="s">
        <v>330</v>
      </c>
      <c r="J21" s="166">
        <v>45467</v>
      </c>
      <c r="K21" s="166">
        <v>45507</v>
      </c>
      <c r="L21" s="162" t="s">
        <v>141</v>
      </c>
    </row>
    <row r="22" spans="1:12" ht="55.2" x14ac:dyDescent="0.3">
      <c r="A22" s="162" t="s">
        <v>138</v>
      </c>
      <c r="B22" s="162">
        <v>2024</v>
      </c>
      <c r="C22" s="162" t="s">
        <v>331</v>
      </c>
      <c r="D22" s="162" t="s">
        <v>139</v>
      </c>
      <c r="E22" s="163" t="s">
        <v>332</v>
      </c>
      <c r="F22" s="167" t="s">
        <v>333</v>
      </c>
      <c r="G22" s="162" t="s">
        <v>126</v>
      </c>
      <c r="H22" s="162" t="s">
        <v>144</v>
      </c>
      <c r="I22" s="165" t="s">
        <v>330</v>
      </c>
      <c r="J22" s="166">
        <v>45381</v>
      </c>
      <c r="K22" s="166">
        <v>45503</v>
      </c>
      <c r="L22" s="162" t="s">
        <v>294</v>
      </c>
    </row>
    <row r="23" spans="1:12" ht="69" x14ac:dyDescent="0.3">
      <c r="A23" s="162" t="s">
        <v>138</v>
      </c>
      <c r="B23" s="162">
        <v>2024</v>
      </c>
      <c r="C23" s="162" t="s">
        <v>334</v>
      </c>
      <c r="D23" s="162" t="s">
        <v>139</v>
      </c>
      <c r="E23" s="163" t="s">
        <v>335</v>
      </c>
      <c r="F23" s="167" t="s">
        <v>336</v>
      </c>
      <c r="G23" s="162" t="s">
        <v>126</v>
      </c>
      <c r="H23" s="162" t="s">
        <v>144</v>
      </c>
      <c r="I23" s="165" t="s">
        <v>337</v>
      </c>
      <c r="J23" s="166">
        <v>45383</v>
      </c>
      <c r="K23" s="166">
        <v>45503</v>
      </c>
      <c r="L23" s="162" t="s">
        <v>294</v>
      </c>
    </row>
    <row r="24" spans="1:12" ht="55.2" x14ac:dyDescent="0.3">
      <c r="A24" s="162" t="s">
        <v>138</v>
      </c>
      <c r="B24" s="162">
        <v>2024</v>
      </c>
      <c r="C24" s="162" t="s">
        <v>338</v>
      </c>
      <c r="D24" s="162" t="s">
        <v>139</v>
      </c>
      <c r="E24" s="163" t="s">
        <v>339</v>
      </c>
      <c r="F24" s="167" t="s">
        <v>340</v>
      </c>
      <c r="G24" s="162" t="s">
        <v>137</v>
      </c>
      <c r="H24" s="162" t="s">
        <v>341</v>
      </c>
      <c r="I24" s="165" t="s">
        <v>342</v>
      </c>
      <c r="J24" s="166">
        <v>45301</v>
      </c>
      <c r="K24" s="166">
        <v>45341</v>
      </c>
      <c r="L24" s="162" t="s">
        <v>141</v>
      </c>
    </row>
    <row r="25" spans="1:12" ht="27.6" x14ac:dyDescent="0.3">
      <c r="A25" s="162" t="s">
        <v>138</v>
      </c>
      <c r="B25" s="162">
        <v>2024</v>
      </c>
      <c r="C25" s="162" t="s">
        <v>343</v>
      </c>
      <c r="D25" s="162" t="s">
        <v>139</v>
      </c>
      <c r="E25" s="163" t="s">
        <v>344</v>
      </c>
      <c r="F25" s="167" t="s">
        <v>292</v>
      </c>
      <c r="G25" s="162" t="s">
        <v>126</v>
      </c>
      <c r="H25" s="162" t="s">
        <v>345</v>
      </c>
      <c r="I25" s="165" t="s">
        <v>342</v>
      </c>
      <c r="J25" s="166">
        <v>45301</v>
      </c>
      <c r="K25" s="166">
        <v>45351</v>
      </c>
      <c r="L25" s="162" t="s">
        <v>141</v>
      </c>
    </row>
    <row r="26" spans="1:12" ht="63.75" customHeight="1" x14ac:dyDescent="0.3">
      <c r="A26" s="162" t="s">
        <v>138</v>
      </c>
      <c r="B26" s="162">
        <v>2024</v>
      </c>
      <c r="C26" s="162" t="s">
        <v>346</v>
      </c>
      <c r="D26" s="162" t="s">
        <v>139</v>
      </c>
      <c r="E26" s="163" t="s">
        <v>347</v>
      </c>
      <c r="F26" s="167" t="s">
        <v>356</v>
      </c>
      <c r="G26" s="162" t="s">
        <v>126</v>
      </c>
      <c r="H26" s="162" t="s">
        <v>345</v>
      </c>
      <c r="I26" s="165" t="s">
        <v>142</v>
      </c>
      <c r="J26" s="166">
        <v>45392</v>
      </c>
      <c r="K26" s="166">
        <v>45442</v>
      </c>
      <c r="L26" s="162" t="s">
        <v>141</v>
      </c>
    </row>
    <row r="27" spans="1:12" ht="82.8" x14ac:dyDescent="0.3">
      <c r="A27" s="162" t="s">
        <v>148</v>
      </c>
      <c r="B27" s="162">
        <v>2024</v>
      </c>
      <c r="C27" s="162" t="s">
        <v>348</v>
      </c>
      <c r="D27" s="162" t="s">
        <v>125</v>
      </c>
      <c r="E27" s="163" t="s">
        <v>349</v>
      </c>
      <c r="F27" s="167" t="s">
        <v>350</v>
      </c>
      <c r="G27" s="162" t="s">
        <v>126</v>
      </c>
      <c r="H27" s="162" t="s">
        <v>132</v>
      </c>
      <c r="I27" s="165" t="s">
        <v>351</v>
      </c>
      <c r="J27" s="166">
        <v>45294</v>
      </c>
      <c r="K27" s="166">
        <v>45414</v>
      </c>
      <c r="L27" s="162" t="s">
        <v>141</v>
      </c>
    </row>
    <row r="28" spans="1:12" ht="55.2" x14ac:dyDescent="0.3">
      <c r="A28" s="162" t="s">
        <v>148</v>
      </c>
      <c r="B28" s="162">
        <v>2024</v>
      </c>
      <c r="C28" s="162" t="s">
        <v>352</v>
      </c>
      <c r="D28" s="162" t="s">
        <v>125</v>
      </c>
      <c r="E28" s="163" t="s">
        <v>353</v>
      </c>
      <c r="F28" s="167" t="s">
        <v>149</v>
      </c>
      <c r="G28" s="162" t="s">
        <v>143</v>
      </c>
      <c r="H28" s="162" t="s">
        <v>144</v>
      </c>
      <c r="I28" s="165" t="s">
        <v>351</v>
      </c>
      <c r="J28" s="166">
        <v>45297</v>
      </c>
      <c r="K28" s="166">
        <v>45357</v>
      </c>
      <c r="L28" s="162" t="s">
        <v>128</v>
      </c>
    </row>
    <row r="29" spans="1:12" ht="69" x14ac:dyDescent="0.3">
      <c r="A29" s="162" t="s">
        <v>148</v>
      </c>
      <c r="B29" s="162">
        <v>2024</v>
      </c>
      <c r="C29" s="162" t="s">
        <v>354</v>
      </c>
      <c r="D29" s="162" t="s">
        <v>125</v>
      </c>
      <c r="E29" s="163" t="s">
        <v>355</v>
      </c>
      <c r="F29" s="167" t="s">
        <v>356</v>
      </c>
      <c r="G29" s="162" t="s">
        <v>137</v>
      </c>
      <c r="H29" s="162" t="s">
        <v>136</v>
      </c>
      <c r="I29" s="165" t="s">
        <v>357</v>
      </c>
      <c r="J29" s="166">
        <v>45295</v>
      </c>
      <c r="K29" s="166">
        <v>45505</v>
      </c>
      <c r="L29" s="162" t="s">
        <v>128</v>
      </c>
    </row>
    <row r="30" spans="1:12" ht="69" x14ac:dyDescent="0.3">
      <c r="A30" s="162" t="s">
        <v>148</v>
      </c>
      <c r="B30" s="162">
        <v>2024</v>
      </c>
      <c r="C30" s="162" t="s">
        <v>358</v>
      </c>
      <c r="D30" s="162" t="s">
        <v>125</v>
      </c>
      <c r="E30" s="163" t="s">
        <v>359</v>
      </c>
      <c r="F30" s="167" t="s">
        <v>152</v>
      </c>
      <c r="G30" s="162" t="s">
        <v>150</v>
      </c>
      <c r="H30" s="162" t="s">
        <v>151</v>
      </c>
      <c r="I30" s="165" t="s">
        <v>357</v>
      </c>
      <c r="J30" s="166">
        <v>45383</v>
      </c>
      <c r="K30" s="166">
        <v>45503</v>
      </c>
      <c r="L30" s="162" t="s">
        <v>128</v>
      </c>
    </row>
    <row r="31" spans="1:12" ht="55.2" x14ac:dyDescent="0.3">
      <c r="A31" s="162" t="s">
        <v>148</v>
      </c>
      <c r="B31" s="162">
        <v>2024</v>
      </c>
      <c r="C31" s="162" t="s">
        <v>360</v>
      </c>
      <c r="D31" s="162" t="s">
        <v>125</v>
      </c>
      <c r="E31" s="163" t="s">
        <v>361</v>
      </c>
      <c r="F31" s="167" t="s">
        <v>157</v>
      </c>
      <c r="G31" s="162" t="s">
        <v>126</v>
      </c>
      <c r="H31" s="162" t="s">
        <v>133</v>
      </c>
      <c r="I31" s="165" t="s">
        <v>154</v>
      </c>
      <c r="J31" s="166">
        <v>45414</v>
      </c>
      <c r="K31" s="166">
        <v>45534</v>
      </c>
      <c r="L31" s="162" t="s">
        <v>294</v>
      </c>
    </row>
    <row r="32" spans="1:12" ht="55.2" x14ac:dyDescent="0.3">
      <c r="A32" s="162" t="s">
        <v>148</v>
      </c>
      <c r="B32" s="162">
        <v>2024</v>
      </c>
      <c r="C32" s="162" t="s">
        <v>362</v>
      </c>
      <c r="D32" s="162" t="s">
        <v>125</v>
      </c>
      <c r="E32" s="163" t="s">
        <v>363</v>
      </c>
      <c r="F32" s="167" t="s">
        <v>157</v>
      </c>
      <c r="G32" s="162" t="s">
        <v>126</v>
      </c>
      <c r="H32" s="162" t="s">
        <v>133</v>
      </c>
      <c r="I32" s="165" t="s">
        <v>351</v>
      </c>
      <c r="J32" s="166">
        <v>45203</v>
      </c>
      <c r="K32" s="166">
        <v>45323</v>
      </c>
      <c r="L32" s="162" t="s">
        <v>141</v>
      </c>
    </row>
    <row r="33" spans="1:12" ht="55.2" x14ac:dyDescent="0.3">
      <c r="A33" s="162" t="s">
        <v>148</v>
      </c>
      <c r="B33" s="162">
        <v>2024</v>
      </c>
      <c r="C33" s="162" t="s">
        <v>364</v>
      </c>
      <c r="D33" s="162" t="s">
        <v>125</v>
      </c>
      <c r="E33" s="163" t="s">
        <v>365</v>
      </c>
      <c r="F33" s="167" t="s">
        <v>157</v>
      </c>
      <c r="G33" s="162" t="s">
        <v>150</v>
      </c>
      <c r="H33" s="162" t="s">
        <v>151</v>
      </c>
      <c r="I33" s="165" t="s">
        <v>154</v>
      </c>
      <c r="J33" s="166">
        <v>45352</v>
      </c>
      <c r="K33" s="166">
        <v>45473</v>
      </c>
      <c r="L33" s="162" t="s">
        <v>128</v>
      </c>
    </row>
    <row r="34" spans="1:12" ht="82.8" x14ac:dyDescent="0.3">
      <c r="A34" s="162" t="s">
        <v>148</v>
      </c>
      <c r="B34" s="162">
        <v>2024</v>
      </c>
      <c r="C34" s="168" t="s">
        <v>366</v>
      </c>
      <c r="D34" s="168" t="s">
        <v>125</v>
      </c>
      <c r="E34" s="169" t="s">
        <v>367</v>
      </c>
      <c r="F34" s="170" t="s">
        <v>368</v>
      </c>
      <c r="G34" s="168" t="s">
        <v>143</v>
      </c>
      <c r="H34" s="162" t="s">
        <v>144</v>
      </c>
      <c r="I34" s="165" t="s">
        <v>155</v>
      </c>
      <c r="J34" s="166">
        <v>45320</v>
      </c>
      <c r="K34" s="166">
        <v>45380</v>
      </c>
      <c r="L34" s="162" t="s">
        <v>128</v>
      </c>
    </row>
    <row r="35" spans="1:12" ht="55.2" x14ac:dyDescent="0.3">
      <c r="A35" s="162" t="s">
        <v>148</v>
      </c>
      <c r="B35" s="162">
        <v>2024</v>
      </c>
      <c r="C35" s="162" t="s">
        <v>369</v>
      </c>
      <c r="D35" s="162" t="s">
        <v>125</v>
      </c>
      <c r="E35" s="163" t="s">
        <v>370</v>
      </c>
      <c r="F35" s="167" t="s">
        <v>167</v>
      </c>
      <c r="G35" s="162" t="s">
        <v>137</v>
      </c>
      <c r="H35" s="162" t="s">
        <v>162</v>
      </c>
      <c r="I35" s="165" t="s">
        <v>371</v>
      </c>
      <c r="J35" s="166">
        <v>45295</v>
      </c>
      <c r="K35" s="166">
        <v>45505</v>
      </c>
      <c r="L35" s="162" t="s">
        <v>128</v>
      </c>
    </row>
    <row r="36" spans="1:12" ht="41.4" x14ac:dyDescent="0.3">
      <c r="A36" s="162" t="s">
        <v>148</v>
      </c>
      <c r="B36" s="162">
        <v>2024</v>
      </c>
      <c r="C36" s="162" t="s">
        <v>372</v>
      </c>
      <c r="D36" s="162" t="s">
        <v>139</v>
      </c>
      <c r="E36" s="163" t="s">
        <v>373</v>
      </c>
      <c r="F36" s="167" t="s">
        <v>145</v>
      </c>
      <c r="G36" s="162" t="s">
        <v>137</v>
      </c>
      <c r="H36" s="162" t="s">
        <v>158</v>
      </c>
      <c r="I36" s="165" t="s">
        <v>371</v>
      </c>
      <c r="J36" s="166">
        <v>45286</v>
      </c>
      <c r="K36" s="166">
        <v>45406</v>
      </c>
      <c r="L36" s="162" t="s">
        <v>128</v>
      </c>
    </row>
    <row r="37" spans="1:12" ht="41.4" x14ac:dyDescent="0.3">
      <c r="A37" s="162" t="s">
        <v>160</v>
      </c>
      <c r="B37" s="162">
        <v>2024</v>
      </c>
      <c r="C37" s="162" t="s">
        <v>374</v>
      </c>
      <c r="D37" s="162" t="s">
        <v>139</v>
      </c>
      <c r="E37" s="163" t="s">
        <v>375</v>
      </c>
      <c r="F37" s="167" t="s">
        <v>319</v>
      </c>
      <c r="G37" s="162" t="s">
        <v>137</v>
      </c>
      <c r="H37" s="162" t="s">
        <v>323</v>
      </c>
      <c r="I37" s="165" t="s">
        <v>342</v>
      </c>
      <c r="J37" s="166">
        <v>45413</v>
      </c>
      <c r="K37" s="166">
        <v>45453</v>
      </c>
      <c r="L37" s="162" t="s">
        <v>141</v>
      </c>
    </row>
    <row r="38" spans="1:12" ht="82.8" x14ac:dyDescent="0.3">
      <c r="A38" s="162" t="s">
        <v>160</v>
      </c>
      <c r="B38" s="162">
        <v>2024</v>
      </c>
      <c r="C38" s="162" t="s">
        <v>376</v>
      </c>
      <c r="D38" s="162" t="s">
        <v>125</v>
      </c>
      <c r="E38" s="163" t="s">
        <v>377</v>
      </c>
      <c r="F38" s="167" t="s">
        <v>170</v>
      </c>
      <c r="G38" s="162" t="s">
        <v>268</v>
      </c>
      <c r="H38" s="162" t="s">
        <v>130</v>
      </c>
      <c r="I38" s="165" t="s">
        <v>378</v>
      </c>
      <c r="J38" s="166">
        <v>45474</v>
      </c>
      <c r="K38" s="166">
        <v>45534</v>
      </c>
      <c r="L38" s="162" t="s">
        <v>128</v>
      </c>
    </row>
    <row r="39" spans="1:12" ht="110.4" x14ac:dyDescent="0.3">
      <c r="A39" s="162" t="s">
        <v>160</v>
      </c>
      <c r="B39" s="162">
        <v>2024</v>
      </c>
      <c r="C39" s="162" t="s">
        <v>379</v>
      </c>
      <c r="D39" s="162" t="s">
        <v>125</v>
      </c>
      <c r="E39" s="163" t="s">
        <v>380</v>
      </c>
      <c r="F39" s="167" t="s">
        <v>173</v>
      </c>
      <c r="G39" s="168" t="s">
        <v>163</v>
      </c>
      <c r="H39" s="162" t="s">
        <v>130</v>
      </c>
      <c r="I39" s="165" t="s">
        <v>378</v>
      </c>
      <c r="J39" s="166">
        <v>45501</v>
      </c>
      <c r="K39" s="166">
        <v>45541</v>
      </c>
      <c r="L39" s="162" t="s">
        <v>128</v>
      </c>
    </row>
    <row r="40" spans="1:12" s="72" customFormat="1" ht="82.8" x14ac:dyDescent="0.3">
      <c r="A40" s="162" t="s">
        <v>165</v>
      </c>
      <c r="B40" s="162">
        <v>2024</v>
      </c>
      <c r="C40" s="162" t="s">
        <v>381</v>
      </c>
      <c r="D40" s="162" t="s">
        <v>125</v>
      </c>
      <c r="E40" s="163" t="s">
        <v>382</v>
      </c>
      <c r="F40" s="167" t="s">
        <v>161</v>
      </c>
      <c r="G40" s="162" t="s">
        <v>143</v>
      </c>
      <c r="H40" s="162" t="s">
        <v>133</v>
      </c>
      <c r="I40" s="165" t="s">
        <v>891</v>
      </c>
      <c r="J40" s="166">
        <v>45140</v>
      </c>
      <c r="K40" s="166">
        <v>45200</v>
      </c>
      <c r="L40" s="162" t="s">
        <v>128</v>
      </c>
    </row>
    <row r="41" spans="1:12" s="72" customFormat="1" ht="41.4" x14ac:dyDescent="0.3">
      <c r="A41" s="162" t="s">
        <v>165</v>
      </c>
      <c r="B41" s="162">
        <v>2024</v>
      </c>
      <c r="C41" s="162" t="s">
        <v>383</v>
      </c>
      <c r="D41" s="162" t="s">
        <v>139</v>
      </c>
      <c r="E41" s="163" t="s">
        <v>384</v>
      </c>
      <c r="F41" s="167" t="s">
        <v>170</v>
      </c>
      <c r="G41" s="162" t="s">
        <v>126</v>
      </c>
      <c r="H41" s="162" t="s">
        <v>133</v>
      </c>
      <c r="I41" s="165" t="s">
        <v>891</v>
      </c>
      <c r="J41" s="166">
        <v>45322</v>
      </c>
      <c r="K41" s="166">
        <v>45412</v>
      </c>
      <c r="L41" s="162" t="s">
        <v>141</v>
      </c>
    </row>
    <row r="42" spans="1:12" ht="55.2" x14ac:dyDescent="0.3">
      <c r="A42" s="162" t="s">
        <v>264</v>
      </c>
      <c r="B42" s="162">
        <v>2024</v>
      </c>
      <c r="C42" s="162" t="s">
        <v>261</v>
      </c>
      <c r="D42" s="162" t="s">
        <v>139</v>
      </c>
      <c r="E42" s="163" t="s">
        <v>385</v>
      </c>
      <c r="F42" s="167" t="s">
        <v>262</v>
      </c>
      <c r="G42" s="162" t="s">
        <v>143</v>
      </c>
      <c r="H42" s="162" t="s">
        <v>169</v>
      </c>
      <c r="I42" s="165" t="s">
        <v>386</v>
      </c>
      <c r="J42" s="166">
        <v>45160</v>
      </c>
      <c r="K42" s="166">
        <v>45200</v>
      </c>
      <c r="L42" s="162" t="s">
        <v>128</v>
      </c>
    </row>
    <row r="43" spans="1:12" ht="55.2" x14ac:dyDescent="0.3">
      <c r="A43" s="162" t="s">
        <v>166</v>
      </c>
      <c r="B43" s="162">
        <v>2024</v>
      </c>
      <c r="C43" s="162" t="s">
        <v>387</v>
      </c>
      <c r="D43" s="162" t="s">
        <v>125</v>
      </c>
      <c r="E43" s="163" t="s">
        <v>388</v>
      </c>
      <c r="F43" s="167" t="s">
        <v>161</v>
      </c>
      <c r="G43" s="162" t="s">
        <v>143</v>
      </c>
      <c r="H43" s="162" t="s">
        <v>136</v>
      </c>
      <c r="I43" s="165" t="s">
        <v>853</v>
      </c>
      <c r="J43" s="166">
        <v>45413</v>
      </c>
      <c r="K43" s="166">
        <v>45473</v>
      </c>
      <c r="L43" s="162" t="s">
        <v>128</v>
      </c>
    </row>
    <row r="44" spans="1:12" ht="41.4" x14ac:dyDescent="0.3">
      <c r="A44" s="162" t="s">
        <v>166</v>
      </c>
      <c r="B44" s="162">
        <v>2024</v>
      </c>
      <c r="C44" s="162" t="s">
        <v>389</v>
      </c>
      <c r="D44" s="162" t="s">
        <v>139</v>
      </c>
      <c r="E44" s="163" t="s">
        <v>390</v>
      </c>
      <c r="F44" s="167" t="s">
        <v>170</v>
      </c>
      <c r="G44" s="162" t="s">
        <v>126</v>
      </c>
      <c r="H44" s="162" t="s">
        <v>130</v>
      </c>
      <c r="I44" s="165" t="s">
        <v>892</v>
      </c>
      <c r="J44" s="166">
        <v>45353</v>
      </c>
      <c r="K44" s="166">
        <v>45473</v>
      </c>
      <c r="L44" s="162" t="s">
        <v>128</v>
      </c>
    </row>
    <row r="45" spans="1:12" ht="41.4" x14ac:dyDescent="0.3">
      <c r="A45" s="162" t="s">
        <v>166</v>
      </c>
      <c r="B45" s="162">
        <v>2024</v>
      </c>
      <c r="C45" s="162" t="s">
        <v>391</v>
      </c>
      <c r="D45" s="162" t="s">
        <v>139</v>
      </c>
      <c r="E45" s="163" t="s">
        <v>392</v>
      </c>
      <c r="F45" s="167" t="s">
        <v>393</v>
      </c>
      <c r="G45" s="162" t="s">
        <v>126</v>
      </c>
      <c r="H45" s="162" t="s">
        <v>133</v>
      </c>
      <c r="I45" s="165" t="s">
        <v>854</v>
      </c>
      <c r="J45" s="166">
        <v>45354</v>
      </c>
      <c r="K45" s="166">
        <v>45474</v>
      </c>
      <c r="L45" s="162" t="s">
        <v>128</v>
      </c>
    </row>
    <row r="46" spans="1:12" ht="41.4" x14ac:dyDescent="0.3">
      <c r="A46" s="162" t="s">
        <v>166</v>
      </c>
      <c r="B46" s="162">
        <v>2024</v>
      </c>
      <c r="C46" s="162" t="s">
        <v>394</v>
      </c>
      <c r="D46" s="162" t="s">
        <v>139</v>
      </c>
      <c r="E46" s="163" t="s">
        <v>395</v>
      </c>
      <c r="F46" s="167" t="s">
        <v>170</v>
      </c>
      <c r="G46" s="162" t="s">
        <v>126</v>
      </c>
      <c r="H46" s="162" t="s">
        <v>151</v>
      </c>
      <c r="I46" s="165" t="s">
        <v>854</v>
      </c>
      <c r="J46" s="166">
        <v>45354</v>
      </c>
      <c r="K46" s="166">
        <v>45474</v>
      </c>
      <c r="L46" s="162" t="s">
        <v>128</v>
      </c>
    </row>
    <row r="47" spans="1:12" ht="82.8" x14ac:dyDescent="0.3">
      <c r="A47" s="162" t="s">
        <v>166</v>
      </c>
      <c r="B47" s="162">
        <v>2024</v>
      </c>
      <c r="C47" s="162" t="s">
        <v>396</v>
      </c>
      <c r="D47" s="162" t="s">
        <v>125</v>
      </c>
      <c r="E47" s="163" t="s">
        <v>397</v>
      </c>
      <c r="F47" s="167" t="s">
        <v>161</v>
      </c>
      <c r="G47" s="162" t="s">
        <v>143</v>
      </c>
      <c r="H47" s="162" t="s">
        <v>136</v>
      </c>
      <c r="I47" s="165" t="s">
        <v>892</v>
      </c>
      <c r="J47" s="166">
        <v>45474</v>
      </c>
      <c r="K47" s="166">
        <v>45534</v>
      </c>
      <c r="L47" s="162" t="s">
        <v>128</v>
      </c>
    </row>
    <row r="48" spans="1:12" ht="41.4" x14ac:dyDescent="0.3">
      <c r="A48" s="162" t="s">
        <v>166</v>
      </c>
      <c r="B48" s="162">
        <v>2024</v>
      </c>
      <c r="C48" s="162" t="s">
        <v>398</v>
      </c>
      <c r="D48" s="162" t="s">
        <v>139</v>
      </c>
      <c r="E48" s="163" t="s">
        <v>399</v>
      </c>
      <c r="F48" s="167" t="s">
        <v>145</v>
      </c>
      <c r="G48" s="162" t="s">
        <v>143</v>
      </c>
      <c r="H48" s="162" t="s">
        <v>144</v>
      </c>
      <c r="I48" s="165" t="s">
        <v>854</v>
      </c>
      <c r="J48" s="166">
        <v>45444</v>
      </c>
      <c r="K48" s="166">
        <v>45504</v>
      </c>
      <c r="L48" s="162" t="s">
        <v>128</v>
      </c>
    </row>
    <row r="49" spans="1:12" ht="55.2" x14ac:dyDescent="0.3">
      <c r="A49" s="162" t="s">
        <v>166</v>
      </c>
      <c r="B49" s="162">
        <v>2024</v>
      </c>
      <c r="C49" s="162" t="s">
        <v>400</v>
      </c>
      <c r="D49" s="162" t="s">
        <v>139</v>
      </c>
      <c r="E49" s="163" t="s">
        <v>401</v>
      </c>
      <c r="F49" s="167" t="s">
        <v>161</v>
      </c>
      <c r="G49" s="162" t="s">
        <v>143</v>
      </c>
      <c r="H49" s="162" t="s">
        <v>169</v>
      </c>
      <c r="I49" s="165" t="s">
        <v>855</v>
      </c>
      <c r="J49" s="166">
        <v>45410</v>
      </c>
      <c r="K49" s="166">
        <v>45470</v>
      </c>
      <c r="L49" s="162" t="s">
        <v>128</v>
      </c>
    </row>
    <row r="50" spans="1:12" ht="55.2" x14ac:dyDescent="0.3">
      <c r="A50" s="162" t="s">
        <v>402</v>
      </c>
      <c r="B50" s="162">
        <v>2024</v>
      </c>
      <c r="C50" s="162" t="s">
        <v>403</v>
      </c>
      <c r="D50" s="162" t="s">
        <v>139</v>
      </c>
      <c r="E50" s="163" t="s">
        <v>404</v>
      </c>
      <c r="F50" s="167" t="s">
        <v>405</v>
      </c>
      <c r="G50" s="162" t="s">
        <v>137</v>
      </c>
      <c r="H50" s="162" t="s">
        <v>132</v>
      </c>
      <c r="I50" s="165" t="s">
        <v>406</v>
      </c>
      <c r="J50" s="166">
        <v>45463</v>
      </c>
      <c r="K50" s="166">
        <v>45513</v>
      </c>
      <c r="L50" s="162" t="s">
        <v>141</v>
      </c>
    </row>
    <row r="51" spans="1:12" ht="75.75" customHeight="1" x14ac:dyDescent="0.3">
      <c r="A51" s="162" t="s">
        <v>402</v>
      </c>
      <c r="B51" s="162">
        <v>2024</v>
      </c>
      <c r="C51" s="162" t="s">
        <v>407</v>
      </c>
      <c r="D51" s="162" t="s">
        <v>139</v>
      </c>
      <c r="E51" s="163" t="s">
        <v>408</v>
      </c>
      <c r="F51" s="167" t="s">
        <v>405</v>
      </c>
      <c r="G51" s="162" t="s">
        <v>137</v>
      </c>
      <c r="H51" s="162" t="s">
        <v>323</v>
      </c>
      <c r="I51" s="165" t="s">
        <v>406</v>
      </c>
      <c r="J51" s="166">
        <v>45273</v>
      </c>
      <c r="K51" s="166">
        <v>45323</v>
      </c>
      <c r="L51" s="162" t="s">
        <v>141</v>
      </c>
    </row>
    <row r="52" spans="1:12" ht="69" x14ac:dyDescent="0.3">
      <c r="A52" s="162" t="s">
        <v>402</v>
      </c>
      <c r="B52" s="162">
        <v>2024</v>
      </c>
      <c r="C52" s="162" t="s">
        <v>409</v>
      </c>
      <c r="D52" s="162" t="s">
        <v>139</v>
      </c>
      <c r="E52" s="163" t="s">
        <v>410</v>
      </c>
      <c r="F52" s="167" t="s">
        <v>405</v>
      </c>
      <c r="G52" s="162" t="s">
        <v>137</v>
      </c>
      <c r="H52" s="162" t="s">
        <v>323</v>
      </c>
      <c r="I52" s="165" t="s">
        <v>406</v>
      </c>
      <c r="J52" s="166">
        <v>45428</v>
      </c>
      <c r="K52" s="166">
        <v>45478</v>
      </c>
      <c r="L52" s="162" t="s">
        <v>141</v>
      </c>
    </row>
    <row r="53" spans="1:12" ht="110.4" x14ac:dyDescent="0.3">
      <c r="A53" s="162" t="s">
        <v>168</v>
      </c>
      <c r="B53" s="162">
        <v>2024</v>
      </c>
      <c r="C53" s="162" t="s">
        <v>411</v>
      </c>
      <c r="D53" s="162" t="s">
        <v>139</v>
      </c>
      <c r="E53" s="163" t="s">
        <v>412</v>
      </c>
      <c r="F53" s="167" t="s">
        <v>167</v>
      </c>
      <c r="G53" s="162" t="s">
        <v>150</v>
      </c>
      <c r="H53" s="162" t="s">
        <v>156</v>
      </c>
      <c r="I53" s="162" t="s">
        <v>413</v>
      </c>
      <c r="J53" s="166">
        <v>45233</v>
      </c>
      <c r="K53" s="166">
        <v>45504</v>
      </c>
      <c r="L53" s="162" t="s">
        <v>128</v>
      </c>
    </row>
    <row r="54" spans="1:12" ht="82.8" x14ac:dyDescent="0.3">
      <c r="A54" s="162" t="s">
        <v>168</v>
      </c>
      <c r="B54" s="162">
        <v>2024</v>
      </c>
      <c r="C54" s="162" t="s">
        <v>414</v>
      </c>
      <c r="D54" s="162" t="s">
        <v>125</v>
      </c>
      <c r="E54" s="163" t="s">
        <v>415</v>
      </c>
      <c r="F54" s="167" t="s">
        <v>167</v>
      </c>
      <c r="G54" s="162" t="s">
        <v>126</v>
      </c>
      <c r="H54" s="162" t="s">
        <v>144</v>
      </c>
      <c r="I54" s="171" t="s">
        <v>267</v>
      </c>
      <c r="J54" s="166">
        <v>45362</v>
      </c>
      <c r="K54" s="166">
        <v>45576</v>
      </c>
      <c r="L54" s="162" t="s">
        <v>128</v>
      </c>
    </row>
    <row r="55" spans="1:12" ht="41.4" x14ac:dyDescent="0.3">
      <c r="A55" s="162" t="s">
        <v>168</v>
      </c>
      <c r="B55" s="162">
        <v>2024</v>
      </c>
      <c r="C55" s="162" t="s">
        <v>416</v>
      </c>
      <c r="D55" s="162" t="s">
        <v>139</v>
      </c>
      <c r="E55" s="163" t="s">
        <v>417</v>
      </c>
      <c r="F55" s="167" t="s">
        <v>418</v>
      </c>
      <c r="G55" s="162" t="s">
        <v>126</v>
      </c>
      <c r="H55" s="162" t="s">
        <v>323</v>
      </c>
      <c r="I55" s="171" t="s">
        <v>267</v>
      </c>
      <c r="J55" s="166">
        <v>45382</v>
      </c>
      <c r="K55" s="166">
        <v>45504</v>
      </c>
      <c r="L55" s="162" t="s">
        <v>141</v>
      </c>
    </row>
    <row r="56" spans="1:12" ht="41.4" x14ac:dyDescent="0.3">
      <c r="A56" s="162" t="s">
        <v>168</v>
      </c>
      <c r="B56" s="162">
        <v>2024</v>
      </c>
      <c r="C56" s="162" t="s">
        <v>419</v>
      </c>
      <c r="D56" s="162" t="s">
        <v>139</v>
      </c>
      <c r="E56" s="163" t="s">
        <v>420</v>
      </c>
      <c r="F56" s="167" t="s">
        <v>418</v>
      </c>
      <c r="G56" s="162" t="s">
        <v>126</v>
      </c>
      <c r="H56" s="162" t="s">
        <v>323</v>
      </c>
      <c r="I56" s="171" t="s">
        <v>267</v>
      </c>
      <c r="J56" s="166">
        <v>45382</v>
      </c>
      <c r="K56" s="166">
        <v>45504</v>
      </c>
      <c r="L56" s="162" t="s">
        <v>141</v>
      </c>
    </row>
    <row r="57" spans="1:12" ht="55.2" x14ac:dyDescent="0.3">
      <c r="A57" s="162" t="s">
        <v>168</v>
      </c>
      <c r="B57" s="162">
        <v>2024</v>
      </c>
      <c r="C57" s="162" t="s">
        <v>421</v>
      </c>
      <c r="D57" s="162" t="s">
        <v>139</v>
      </c>
      <c r="E57" s="163" t="s">
        <v>422</v>
      </c>
      <c r="F57" s="167" t="s">
        <v>418</v>
      </c>
      <c r="G57" s="162" t="s">
        <v>126</v>
      </c>
      <c r="H57" s="162" t="s">
        <v>323</v>
      </c>
      <c r="I57" s="171" t="s">
        <v>267</v>
      </c>
      <c r="J57" s="166">
        <v>45382</v>
      </c>
      <c r="K57" s="166">
        <v>45504</v>
      </c>
      <c r="L57" s="162" t="s">
        <v>141</v>
      </c>
    </row>
    <row r="58" spans="1:12" ht="41.4" x14ac:dyDescent="0.3">
      <c r="A58" s="162" t="s">
        <v>168</v>
      </c>
      <c r="B58" s="162">
        <v>2024</v>
      </c>
      <c r="C58" s="162" t="s">
        <v>423</v>
      </c>
      <c r="D58" s="162" t="s">
        <v>139</v>
      </c>
      <c r="E58" s="163" t="s">
        <v>424</v>
      </c>
      <c r="F58" s="167" t="s">
        <v>418</v>
      </c>
      <c r="G58" s="162" t="s">
        <v>126</v>
      </c>
      <c r="H58" s="162" t="s">
        <v>323</v>
      </c>
      <c r="I58" s="171" t="s">
        <v>267</v>
      </c>
      <c r="J58" s="166">
        <v>45382</v>
      </c>
      <c r="K58" s="166">
        <v>45504</v>
      </c>
      <c r="L58" s="162" t="s">
        <v>141</v>
      </c>
    </row>
    <row r="59" spans="1:12" ht="69" x14ac:dyDescent="0.3">
      <c r="A59" s="162" t="s">
        <v>168</v>
      </c>
      <c r="B59" s="162">
        <v>2024</v>
      </c>
      <c r="C59" s="162" t="s">
        <v>425</v>
      </c>
      <c r="D59" s="162" t="s">
        <v>139</v>
      </c>
      <c r="E59" s="163" t="s">
        <v>426</v>
      </c>
      <c r="F59" s="167" t="s">
        <v>180</v>
      </c>
      <c r="G59" s="162" t="s">
        <v>126</v>
      </c>
      <c r="H59" s="162" t="s">
        <v>144</v>
      </c>
      <c r="I59" s="165" t="s">
        <v>427</v>
      </c>
      <c r="J59" s="166">
        <v>45294</v>
      </c>
      <c r="K59" s="166" t="s">
        <v>163</v>
      </c>
      <c r="L59" s="162" t="s">
        <v>294</v>
      </c>
    </row>
    <row r="60" spans="1:12" ht="41.4" x14ac:dyDescent="0.3">
      <c r="A60" s="162" t="s">
        <v>168</v>
      </c>
      <c r="B60" s="162">
        <v>2024</v>
      </c>
      <c r="C60" s="162" t="s">
        <v>428</v>
      </c>
      <c r="D60" s="162" t="s">
        <v>139</v>
      </c>
      <c r="E60" s="163" t="s">
        <v>429</v>
      </c>
      <c r="F60" s="167" t="s">
        <v>430</v>
      </c>
      <c r="G60" s="162" t="s">
        <v>126</v>
      </c>
      <c r="H60" s="162" t="s">
        <v>151</v>
      </c>
      <c r="I60" s="165" t="s">
        <v>427</v>
      </c>
      <c r="J60" s="166">
        <v>45294</v>
      </c>
      <c r="K60" s="166">
        <v>45504</v>
      </c>
      <c r="L60" s="162" t="s">
        <v>128</v>
      </c>
    </row>
    <row r="61" spans="1:12" ht="96.6" x14ac:dyDescent="0.3">
      <c r="A61" s="162" t="s">
        <v>168</v>
      </c>
      <c r="B61" s="162">
        <v>2024</v>
      </c>
      <c r="C61" s="162" t="s">
        <v>431</v>
      </c>
      <c r="D61" s="162" t="s">
        <v>125</v>
      </c>
      <c r="E61" s="163" t="s">
        <v>432</v>
      </c>
      <c r="F61" s="167" t="s">
        <v>145</v>
      </c>
      <c r="G61" s="162" t="s">
        <v>126</v>
      </c>
      <c r="H61" s="162" t="s">
        <v>158</v>
      </c>
      <c r="I61" s="165" t="s">
        <v>427</v>
      </c>
      <c r="J61" s="166">
        <v>45391</v>
      </c>
      <c r="K61" s="166">
        <v>45601</v>
      </c>
      <c r="L61" s="162" t="s">
        <v>128</v>
      </c>
    </row>
    <row r="62" spans="1:12" ht="111" customHeight="1" x14ac:dyDescent="0.3">
      <c r="A62" s="162" t="s">
        <v>168</v>
      </c>
      <c r="B62" s="162">
        <v>2024</v>
      </c>
      <c r="C62" s="162" t="s">
        <v>433</v>
      </c>
      <c r="D62" s="162" t="s">
        <v>125</v>
      </c>
      <c r="E62" s="163" t="s">
        <v>434</v>
      </c>
      <c r="F62" s="167" t="s">
        <v>430</v>
      </c>
      <c r="G62" s="162" t="s">
        <v>150</v>
      </c>
      <c r="H62" s="162" t="s">
        <v>156</v>
      </c>
      <c r="I62" s="162" t="s">
        <v>413</v>
      </c>
      <c r="J62" s="166">
        <v>45223</v>
      </c>
      <c r="K62" s="166">
        <v>45311</v>
      </c>
      <c r="L62" s="162" t="s">
        <v>128</v>
      </c>
    </row>
    <row r="63" spans="1:12" ht="69" x14ac:dyDescent="0.3">
      <c r="A63" s="162" t="s">
        <v>168</v>
      </c>
      <c r="B63" s="162">
        <v>2024</v>
      </c>
      <c r="C63" s="162" t="s">
        <v>435</v>
      </c>
      <c r="D63" s="162" t="s">
        <v>139</v>
      </c>
      <c r="E63" s="163" t="s">
        <v>436</v>
      </c>
      <c r="F63" s="167" t="s">
        <v>173</v>
      </c>
      <c r="G63" s="162" t="s">
        <v>126</v>
      </c>
      <c r="H63" s="162" t="s">
        <v>133</v>
      </c>
      <c r="I63" s="165" t="s">
        <v>437</v>
      </c>
      <c r="J63" s="166">
        <v>45309</v>
      </c>
      <c r="K63" s="166">
        <v>45519</v>
      </c>
      <c r="L63" s="162" t="s">
        <v>128</v>
      </c>
    </row>
    <row r="64" spans="1:12" ht="118.2" customHeight="1" x14ac:dyDescent="0.3">
      <c r="A64" s="162" t="s">
        <v>168</v>
      </c>
      <c r="B64" s="162">
        <v>2024</v>
      </c>
      <c r="C64" s="162" t="s">
        <v>438</v>
      </c>
      <c r="D64" s="162" t="s">
        <v>139</v>
      </c>
      <c r="E64" s="163" t="s">
        <v>439</v>
      </c>
      <c r="F64" s="167" t="s">
        <v>167</v>
      </c>
      <c r="G64" s="162" t="s">
        <v>150</v>
      </c>
      <c r="H64" s="162" t="s">
        <v>156</v>
      </c>
      <c r="I64" s="171" t="s">
        <v>427</v>
      </c>
      <c r="J64" s="166">
        <v>45232</v>
      </c>
      <c r="K64" s="166">
        <v>45442</v>
      </c>
      <c r="L64" s="162" t="s">
        <v>128</v>
      </c>
    </row>
    <row r="65" spans="1:12" ht="27.6" x14ac:dyDescent="0.3">
      <c r="A65" s="162" t="s">
        <v>168</v>
      </c>
      <c r="B65" s="162">
        <v>2024</v>
      </c>
      <c r="C65" s="162" t="s">
        <v>440</v>
      </c>
      <c r="D65" s="162" t="s">
        <v>139</v>
      </c>
      <c r="E65" s="163" t="s">
        <v>441</v>
      </c>
      <c r="F65" s="167" t="s">
        <v>161</v>
      </c>
      <c r="G65" s="162" t="s">
        <v>137</v>
      </c>
      <c r="H65" s="162" t="s">
        <v>151</v>
      </c>
      <c r="I65" s="171" t="s">
        <v>427</v>
      </c>
      <c r="J65" s="166">
        <v>45264</v>
      </c>
      <c r="K65" s="166">
        <v>45474</v>
      </c>
      <c r="L65" s="162" t="s">
        <v>128</v>
      </c>
    </row>
    <row r="66" spans="1:12" ht="55.2" x14ac:dyDescent="0.3">
      <c r="A66" s="162" t="s">
        <v>168</v>
      </c>
      <c r="B66" s="162">
        <v>2024</v>
      </c>
      <c r="C66" s="162" t="s">
        <v>442</v>
      </c>
      <c r="D66" s="162" t="s">
        <v>139</v>
      </c>
      <c r="E66" s="163" t="s">
        <v>443</v>
      </c>
      <c r="F66" s="167" t="s">
        <v>167</v>
      </c>
      <c r="G66" s="162" t="s">
        <v>126</v>
      </c>
      <c r="H66" s="162" t="s">
        <v>156</v>
      </c>
      <c r="I66" s="171" t="s">
        <v>427</v>
      </c>
      <c r="J66" s="166">
        <v>45294</v>
      </c>
      <c r="K66" s="166" t="s">
        <v>163</v>
      </c>
      <c r="L66" s="162" t="s">
        <v>128</v>
      </c>
    </row>
    <row r="67" spans="1:12" ht="55.2" x14ac:dyDescent="0.3">
      <c r="A67" s="162" t="s">
        <v>168</v>
      </c>
      <c r="B67" s="162">
        <v>2024</v>
      </c>
      <c r="C67" s="162" t="s">
        <v>444</v>
      </c>
      <c r="D67" s="162" t="s">
        <v>139</v>
      </c>
      <c r="E67" s="163" t="s">
        <v>445</v>
      </c>
      <c r="F67" s="167" t="s">
        <v>145</v>
      </c>
      <c r="G67" s="162" t="s">
        <v>137</v>
      </c>
      <c r="H67" s="162" t="s">
        <v>156</v>
      </c>
      <c r="I67" s="171" t="s">
        <v>427</v>
      </c>
      <c r="J67" s="166">
        <v>45294</v>
      </c>
      <c r="K67" s="166">
        <v>45504</v>
      </c>
      <c r="L67" s="162" t="s">
        <v>128</v>
      </c>
    </row>
    <row r="68" spans="1:12" ht="69" x14ac:dyDescent="0.3">
      <c r="A68" s="162" t="s">
        <v>168</v>
      </c>
      <c r="B68" s="162">
        <v>2024</v>
      </c>
      <c r="C68" s="162" t="s">
        <v>446</v>
      </c>
      <c r="D68" s="162" t="s">
        <v>139</v>
      </c>
      <c r="E68" s="163" t="s">
        <v>447</v>
      </c>
      <c r="F68" s="167" t="s">
        <v>448</v>
      </c>
      <c r="G68" s="162" t="s">
        <v>126</v>
      </c>
      <c r="H68" s="162" t="s">
        <v>156</v>
      </c>
      <c r="I68" s="171" t="s">
        <v>427</v>
      </c>
      <c r="J68" s="166">
        <v>45294</v>
      </c>
      <c r="K68" s="166" t="s">
        <v>163</v>
      </c>
      <c r="L68" s="162" t="s">
        <v>128</v>
      </c>
    </row>
    <row r="69" spans="1:12" ht="55.2" x14ac:dyDescent="0.3">
      <c r="A69" s="162" t="s">
        <v>168</v>
      </c>
      <c r="B69" s="162">
        <v>2024</v>
      </c>
      <c r="C69" s="162" t="s">
        <v>449</v>
      </c>
      <c r="D69" s="162" t="s">
        <v>139</v>
      </c>
      <c r="E69" s="163" t="s">
        <v>450</v>
      </c>
      <c r="F69" s="167" t="s">
        <v>368</v>
      </c>
      <c r="G69" s="162" t="s">
        <v>126</v>
      </c>
      <c r="H69" s="162" t="s">
        <v>169</v>
      </c>
      <c r="I69" s="171" t="s">
        <v>427</v>
      </c>
      <c r="J69" s="166">
        <v>45294</v>
      </c>
      <c r="K69" s="166">
        <v>45504</v>
      </c>
      <c r="L69" s="162" t="s">
        <v>146</v>
      </c>
    </row>
    <row r="70" spans="1:12" ht="69" x14ac:dyDescent="0.3">
      <c r="A70" s="162" t="s">
        <v>168</v>
      </c>
      <c r="B70" s="162">
        <v>2024</v>
      </c>
      <c r="C70" s="162" t="s">
        <v>451</v>
      </c>
      <c r="D70" s="162" t="s">
        <v>139</v>
      </c>
      <c r="E70" s="163" t="s">
        <v>452</v>
      </c>
      <c r="F70" s="167" t="s">
        <v>305</v>
      </c>
      <c r="G70" s="162" t="s">
        <v>126</v>
      </c>
      <c r="H70" s="162" t="s">
        <v>156</v>
      </c>
      <c r="I70" s="171" t="s">
        <v>427</v>
      </c>
      <c r="J70" s="166">
        <v>45294</v>
      </c>
      <c r="K70" s="166">
        <v>45504</v>
      </c>
      <c r="L70" s="162" t="s">
        <v>128</v>
      </c>
    </row>
    <row r="71" spans="1:12" ht="69" x14ac:dyDescent="0.3">
      <c r="A71" s="162" t="s">
        <v>168</v>
      </c>
      <c r="B71" s="162">
        <v>2024</v>
      </c>
      <c r="C71" s="162" t="s">
        <v>453</v>
      </c>
      <c r="D71" s="162" t="s">
        <v>125</v>
      </c>
      <c r="E71" s="163" t="s">
        <v>454</v>
      </c>
      <c r="F71" s="167" t="s">
        <v>170</v>
      </c>
      <c r="G71" s="162" t="s">
        <v>137</v>
      </c>
      <c r="H71" s="162" t="s">
        <v>156</v>
      </c>
      <c r="I71" s="165" t="s">
        <v>266</v>
      </c>
      <c r="J71" s="166" t="s">
        <v>163</v>
      </c>
      <c r="K71" s="166">
        <v>45276</v>
      </c>
      <c r="L71" s="162" t="s">
        <v>128</v>
      </c>
    </row>
    <row r="72" spans="1:12" ht="116.4" customHeight="1" x14ac:dyDescent="0.3">
      <c r="A72" s="162" t="s">
        <v>168</v>
      </c>
      <c r="B72" s="162">
        <v>2024</v>
      </c>
      <c r="C72" s="162" t="s">
        <v>455</v>
      </c>
      <c r="D72" s="162" t="s">
        <v>125</v>
      </c>
      <c r="E72" s="163" t="s">
        <v>456</v>
      </c>
      <c r="F72" s="167" t="s">
        <v>161</v>
      </c>
      <c r="G72" s="162" t="s">
        <v>137</v>
      </c>
      <c r="H72" s="162" t="s">
        <v>156</v>
      </c>
      <c r="I72" s="165" t="s">
        <v>266</v>
      </c>
      <c r="J72" s="166" t="s">
        <v>163</v>
      </c>
      <c r="K72" s="166">
        <v>45279</v>
      </c>
      <c r="L72" s="162" t="s">
        <v>128</v>
      </c>
    </row>
    <row r="73" spans="1:12" ht="55.2" x14ac:dyDescent="0.3">
      <c r="A73" s="172" t="s">
        <v>172</v>
      </c>
      <c r="B73" s="172">
        <v>2024</v>
      </c>
      <c r="C73" s="172" t="s">
        <v>457</v>
      </c>
      <c r="D73" s="172" t="s">
        <v>125</v>
      </c>
      <c r="E73" s="173" t="s">
        <v>458</v>
      </c>
      <c r="F73" s="174" t="s">
        <v>173</v>
      </c>
      <c r="G73" s="172" t="s">
        <v>150</v>
      </c>
      <c r="H73" s="172" t="s">
        <v>156</v>
      </c>
      <c r="I73" s="175" t="s">
        <v>856</v>
      </c>
      <c r="J73" s="176">
        <v>45111</v>
      </c>
      <c r="K73" s="176">
        <v>45321</v>
      </c>
      <c r="L73" s="172" t="s">
        <v>128</v>
      </c>
    </row>
    <row r="74" spans="1:12" ht="55.2" x14ac:dyDescent="0.3">
      <c r="A74" s="162" t="s">
        <v>172</v>
      </c>
      <c r="B74" s="162">
        <v>2024</v>
      </c>
      <c r="C74" s="162" t="s">
        <v>459</v>
      </c>
      <c r="D74" s="162" t="s">
        <v>125</v>
      </c>
      <c r="E74" s="163" t="s">
        <v>460</v>
      </c>
      <c r="F74" s="167" t="s">
        <v>173</v>
      </c>
      <c r="G74" s="162" t="s">
        <v>137</v>
      </c>
      <c r="H74" s="162" t="s">
        <v>133</v>
      </c>
      <c r="I74" s="165" t="s">
        <v>867</v>
      </c>
      <c r="J74" s="166">
        <v>45464</v>
      </c>
      <c r="K74" s="166">
        <v>45504</v>
      </c>
      <c r="L74" s="162" t="s">
        <v>128</v>
      </c>
    </row>
    <row r="75" spans="1:12" ht="69" x14ac:dyDescent="0.3">
      <c r="A75" s="162" t="s">
        <v>172</v>
      </c>
      <c r="B75" s="162">
        <v>2024</v>
      </c>
      <c r="C75" s="162" t="s">
        <v>461</v>
      </c>
      <c r="D75" s="162" t="s">
        <v>125</v>
      </c>
      <c r="E75" s="163" t="s">
        <v>462</v>
      </c>
      <c r="F75" s="167" t="s">
        <v>173</v>
      </c>
      <c r="G75" s="162" t="s">
        <v>137</v>
      </c>
      <c r="H75" s="162" t="s">
        <v>132</v>
      </c>
      <c r="I75" s="165" t="s">
        <v>868</v>
      </c>
      <c r="J75" s="166">
        <v>45465</v>
      </c>
      <c r="K75" s="166">
        <v>45505</v>
      </c>
      <c r="L75" s="162" t="s">
        <v>141</v>
      </c>
    </row>
    <row r="76" spans="1:12" ht="55.2" x14ac:dyDescent="0.3">
      <c r="A76" s="162" t="s">
        <v>172</v>
      </c>
      <c r="B76" s="162">
        <v>2024</v>
      </c>
      <c r="C76" s="162" t="s">
        <v>463</v>
      </c>
      <c r="D76" s="162" t="s">
        <v>125</v>
      </c>
      <c r="E76" s="163" t="s">
        <v>464</v>
      </c>
      <c r="F76" s="167" t="s">
        <v>465</v>
      </c>
      <c r="G76" s="162" t="s">
        <v>126</v>
      </c>
      <c r="H76" s="162" t="s">
        <v>136</v>
      </c>
      <c r="I76" s="165" t="s">
        <v>869</v>
      </c>
      <c r="J76" s="166">
        <v>45301</v>
      </c>
      <c r="K76" s="166">
        <v>45421</v>
      </c>
      <c r="L76" s="162" t="s">
        <v>128</v>
      </c>
    </row>
    <row r="77" spans="1:12" ht="82.8" x14ac:dyDescent="0.3">
      <c r="A77" s="162" t="s">
        <v>172</v>
      </c>
      <c r="B77" s="162">
        <v>2024</v>
      </c>
      <c r="C77" s="162" t="s">
        <v>466</v>
      </c>
      <c r="D77" s="162" t="s">
        <v>125</v>
      </c>
      <c r="E77" s="163" t="s">
        <v>857</v>
      </c>
      <c r="F77" s="167" t="s">
        <v>170</v>
      </c>
      <c r="G77" s="162" t="s">
        <v>126</v>
      </c>
      <c r="H77" s="162" t="s">
        <v>169</v>
      </c>
      <c r="I77" s="165" t="s">
        <v>869</v>
      </c>
      <c r="J77" s="166">
        <v>45386</v>
      </c>
      <c r="K77" s="166">
        <v>45506</v>
      </c>
      <c r="L77" s="162" t="s">
        <v>128</v>
      </c>
    </row>
    <row r="78" spans="1:12" ht="82.8" x14ac:dyDescent="0.3">
      <c r="A78" s="162" t="s">
        <v>172</v>
      </c>
      <c r="B78" s="162">
        <v>2024</v>
      </c>
      <c r="C78" s="162" t="s">
        <v>467</v>
      </c>
      <c r="D78" s="162" t="s">
        <v>139</v>
      </c>
      <c r="E78" s="163" t="s">
        <v>858</v>
      </c>
      <c r="F78" s="167" t="s">
        <v>161</v>
      </c>
      <c r="G78" s="162" t="s">
        <v>143</v>
      </c>
      <c r="H78" s="162" t="s">
        <v>133</v>
      </c>
      <c r="I78" s="165" t="s">
        <v>870</v>
      </c>
      <c r="J78" s="166">
        <v>45473</v>
      </c>
      <c r="K78" s="166">
        <v>45533</v>
      </c>
      <c r="L78" s="162" t="s">
        <v>141</v>
      </c>
    </row>
    <row r="79" spans="1:12" ht="82.8" x14ac:dyDescent="0.3">
      <c r="A79" s="162" t="s">
        <v>172</v>
      </c>
      <c r="B79" s="162">
        <v>2024</v>
      </c>
      <c r="C79" s="162" t="s">
        <v>468</v>
      </c>
      <c r="D79" s="162" t="s">
        <v>125</v>
      </c>
      <c r="E79" s="163" t="s">
        <v>859</v>
      </c>
      <c r="F79" s="167" t="s">
        <v>469</v>
      </c>
      <c r="G79" s="162" t="s">
        <v>126</v>
      </c>
      <c r="H79" s="162" t="s">
        <v>136</v>
      </c>
      <c r="I79" s="165" t="s">
        <v>871</v>
      </c>
      <c r="J79" s="166">
        <v>45241</v>
      </c>
      <c r="K79" s="166">
        <v>45361</v>
      </c>
      <c r="L79" s="162" t="s">
        <v>128</v>
      </c>
    </row>
    <row r="80" spans="1:12" ht="69" x14ac:dyDescent="0.3">
      <c r="A80" s="162" t="s">
        <v>172</v>
      </c>
      <c r="B80" s="162">
        <v>2024</v>
      </c>
      <c r="C80" s="162" t="s">
        <v>470</v>
      </c>
      <c r="D80" s="162" t="s">
        <v>139</v>
      </c>
      <c r="E80" s="163" t="s">
        <v>471</v>
      </c>
      <c r="F80" s="167" t="s">
        <v>161</v>
      </c>
      <c r="G80" s="162" t="s">
        <v>143</v>
      </c>
      <c r="H80" s="162" t="s">
        <v>136</v>
      </c>
      <c r="I80" s="165" t="s">
        <v>872</v>
      </c>
      <c r="J80" s="166">
        <v>45443</v>
      </c>
      <c r="K80" s="166">
        <v>45503</v>
      </c>
      <c r="L80" s="162" t="s">
        <v>128</v>
      </c>
    </row>
    <row r="81" spans="1:12" ht="41.4" x14ac:dyDescent="0.3">
      <c r="A81" s="162" t="s">
        <v>172</v>
      </c>
      <c r="B81" s="162">
        <v>2024</v>
      </c>
      <c r="C81" s="162" t="s">
        <v>472</v>
      </c>
      <c r="D81" s="162" t="s">
        <v>125</v>
      </c>
      <c r="E81" s="163" t="s">
        <v>473</v>
      </c>
      <c r="F81" s="167" t="s">
        <v>167</v>
      </c>
      <c r="G81" s="162" t="s">
        <v>137</v>
      </c>
      <c r="H81" s="162" t="s">
        <v>133</v>
      </c>
      <c r="I81" s="165" t="s">
        <v>868</v>
      </c>
      <c r="J81" s="166">
        <v>45282</v>
      </c>
      <c r="K81" s="166">
        <v>45342</v>
      </c>
      <c r="L81" s="162" t="s">
        <v>128</v>
      </c>
    </row>
    <row r="82" spans="1:12" ht="55.2" x14ac:dyDescent="0.3">
      <c r="A82" s="162" t="s">
        <v>172</v>
      </c>
      <c r="B82" s="162">
        <v>2024</v>
      </c>
      <c r="C82" s="162" t="s">
        <v>474</v>
      </c>
      <c r="D82" s="162" t="s">
        <v>125</v>
      </c>
      <c r="E82" s="163" t="s">
        <v>475</v>
      </c>
      <c r="F82" s="167" t="s">
        <v>476</v>
      </c>
      <c r="G82" s="162" t="s">
        <v>137</v>
      </c>
      <c r="H82" s="162" t="s">
        <v>156</v>
      </c>
      <c r="I82" s="165" t="s">
        <v>872</v>
      </c>
      <c r="J82" s="166">
        <v>45268</v>
      </c>
      <c r="K82" s="166">
        <v>45478</v>
      </c>
      <c r="L82" s="162" t="s">
        <v>128</v>
      </c>
    </row>
    <row r="83" spans="1:12" ht="55.2" x14ac:dyDescent="0.3">
      <c r="A83" s="162" t="s">
        <v>172</v>
      </c>
      <c r="B83" s="162">
        <v>2024</v>
      </c>
      <c r="C83" s="162" t="s">
        <v>477</v>
      </c>
      <c r="D83" s="162" t="s">
        <v>125</v>
      </c>
      <c r="E83" s="163" t="s">
        <v>478</v>
      </c>
      <c r="F83" s="167" t="s">
        <v>479</v>
      </c>
      <c r="G83" s="162" t="s">
        <v>137</v>
      </c>
      <c r="H83" s="162" t="s">
        <v>151</v>
      </c>
      <c r="I83" s="165" t="s">
        <v>872</v>
      </c>
      <c r="J83" s="166">
        <v>45268</v>
      </c>
      <c r="K83" s="166">
        <v>45478</v>
      </c>
      <c r="L83" s="162" t="s">
        <v>128</v>
      </c>
    </row>
    <row r="84" spans="1:12" ht="55.2" x14ac:dyDescent="0.3">
      <c r="A84" s="162" t="s">
        <v>172</v>
      </c>
      <c r="B84" s="162">
        <v>2024</v>
      </c>
      <c r="C84" s="162" t="s">
        <v>480</v>
      </c>
      <c r="D84" s="162" t="s">
        <v>125</v>
      </c>
      <c r="E84" s="163" t="s">
        <v>481</v>
      </c>
      <c r="F84" s="167" t="s">
        <v>479</v>
      </c>
      <c r="G84" s="162" t="s">
        <v>143</v>
      </c>
      <c r="H84" s="162" t="s">
        <v>136</v>
      </c>
      <c r="I84" s="165" t="s">
        <v>873</v>
      </c>
      <c r="J84" s="166">
        <v>45440</v>
      </c>
      <c r="K84" s="166">
        <v>45500</v>
      </c>
      <c r="L84" s="162" t="s">
        <v>128</v>
      </c>
    </row>
    <row r="85" spans="1:12" ht="41.4" x14ac:dyDescent="0.3">
      <c r="A85" s="162" t="s">
        <v>172</v>
      </c>
      <c r="B85" s="162">
        <v>2024</v>
      </c>
      <c r="C85" s="162" t="s">
        <v>482</v>
      </c>
      <c r="D85" s="162" t="s">
        <v>139</v>
      </c>
      <c r="E85" s="163" t="s">
        <v>483</v>
      </c>
      <c r="F85" s="167" t="s">
        <v>161</v>
      </c>
      <c r="G85" s="162" t="s">
        <v>126</v>
      </c>
      <c r="H85" s="162" t="s">
        <v>151</v>
      </c>
      <c r="I85" s="165" t="s">
        <v>872</v>
      </c>
      <c r="J85" s="166">
        <v>45202</v>
      </c>
      <c r="K85" s="166">
        <v>45412</v>
      </c>
      <c r="L85" s="162" t="s">
        <v>128</v>
      </c>
    </row>
    <row r="86" spans="1:12" ht="41.4" x14ac:dyDescent="0.3">
      <c r="A86" s="162" t="s">
        <v>172</v>
      </c>
      <c r="B86" s="162">
        <v>2024</v>
      </c>
      <c r="C86" s="162" t="s">
        <v>484</v>
      </c>
      <c r="D86" s="162" t="s">
        <v>125</v>
      </c>
      <c r="E86" s="163" t="s">
        <v>485</v>
      </c>
      <c r="F86" s="167" t="s">
        <v>486</v>
      </c>
      <c r="G86" s="162" t="s">
        <v>137</v>
      </c>
      <c r="H86" s="162" t="s">
        <v>323</v>
      </c>
      <c r="I86" s="165" t="s">
        <v>874</v>
      </c>
      <c r="J86" s="166">
        <v>45473</v>
      </c>
      <c r="K86" s="166">
        <v>45503</v>
      </c>
      <c r="L86" s="162" t="s">
        <v>128</v>
      </c>
    </row>
    <row r="87" spans="1:12" ht="41.4" x14ac:dyDescent="0.3">
      <c r="A87" s="162" t="s">
        <v>172</v>
      </c>
      <c r="B87" s="162">
        <v>2024</v>
      </c>
      <c r="C87" s="162" t="s">
        <v>487</v>
      </c>
      <c r="D87" s="162" t="s">
        <v>125</v>
      </c>
      <c r="E87" s="163" t="s">
        <v>488</v>
      </c>
      <c r="F87" s="167" t="s">
        <v>173</v>
      </c>
      <c r="G87" s="162" t="s">
        <v>126</v>
      </c>
      <c r="H87" s="162" t="s">
        <v>136</v>
      </c>
      <c r="I87" s="165" t="s">
        <v>875</v>
      </c>
      <c r="J87" s="166">
        <v>45263</v>
      </c>
      <c r="K87" s="166">
        <v>45473</v>
      </c>
      <c r="L87" s="162" t="s">
        <v>128</v>
      </c>
    </row>
    <row r="88" spans="1:12" ht="41.4" x14ac:dyDescent="0.3">
      <c r="A88" s="162" t="s">
        <v>172</v>
      </c>
      <c r="B88" s="162">
        <v>2024</v>
      </c>
      <c r="C88" s="162" t="s">
        <v>489</v>
      </c>
      <c r="D88" s="162" t="s">
        <v>139</v>
      </c>
      <c r="E88" s="163" t="s">
        <v>490</v>
      </c>
      <c r="F88" s="167" t="s">
        <v>491</v>
      </c>
      <c r="G88" s="162" t="s">
        <v>137</v>
      </c>
      <c r="H88" s="162" t="s">
        <v>127</v>
      </c>
      <c r="I88" s="165" t="s">
        <v>875</v>
      </c>
      <c r="J88" s="166">
        <v>45500</v>
      </c>
      <c r="K88" s="166">
        <v>45550</v>
      </c>
      <c r="L88" s="162" t="s">
        <v>141</v>
      </c>
    </row>
    <row r="89" spans="1:12" ht="27.6" x14ac:dyDescent="0.3">
      <c r="A89" s="162" t="s">
        <v>172</v>
      </c>
      <c r="B89" s="162">
        <v>2024</v>
      </c>
      <c r="C89" s="162" t="s">
        <v>492</v>
      </c>
      <c r="D89" s="162" t="s">
        <v>139</v>
      </c>
      <c r="E89" s="163" t="s">
        <v>860</v>
      </c>
      <c r="F89" s="167" t="s">
        <v>493</v>
      </c>
      <c r="G89" s="162" t="s">
        <v>126</v>
      </c>
      <c r="H89" s="162" t="s">
        <v>130</v>
      </c>
      <c r="I89" s="165" t="s">
        <v>876</v>
      </c>
      <c r="J89" s="166">
        <v>45324</v>
      </c>
      <c r="K89" s="166">
        <v>45444</v>
      </c>
      <c r="L89" s="162" t="s">
        <v>141</v>
      </c>
    </row>
    <row r="90" spans="1:12" ht="27.6" x14ac:dyDescent="0.3">
      <c r="A90" s="162" t="s">
        <v>172</v>
      </c>
      <c r="B90" s="162">
        <v>2024</v>
      </c>
      <c r="C90" s="162" t="s">
        <v>494</v>
      </c>
      <c r="D90" s="162" t="s">
        <v>139</v>
      </c>
      <c r="E90" s="163" t="s">
        <v>861</v>
      </c>
      <c r="F90" s="167" t="s">
        <v>493</v>
      </c>
      <c r="G90" s="162" t="s">
        <v>126</v>
      </c>
      <c r="H90" s="162" t="s">
        <v>130</v>
      </c>
      <c r="I90" s="165" t="s">
        <v>876</v>
      </c>
      <c r="J90" s="166">
        <v>45383</v>
      </c>
      <c r="K90" s="166">
        <v>45444</v>
      </c>
      <c r="L90" s="162" t="s">
        <v>141</v>
      </c>
    </row>
    <row r="91" spans="1:12" ht="27.6" x14ac:dyDescent="0.3">
      <c r="A91" s="162" t="s">
        <v>172</v>
      </c>
      <c r="B91" s="162">
        <v>2024</v>
      </c>
      <c r="C91" s="162" t="s">
        <v>495</v>
      </c>
      <c r="D91" s="162" t="s">
        <v>139</v>
      </c>
      <c r="E91" s="163" t="s">
        <v>862</v>
      </c>
      <c r="F91" s="167" t="s">
        <v>493</v>
      </c>
      <c r="G91" s="162" t="s">
        <v>137</v>
      </c>
      <c r="H91" s="162" t="s">
        <v>178</v>
      </c>
      <c r="I91" s="165" t="s">
        <v>876</v>
      </c>
      <c r="J91" s="166">
        <v>45383</v>
      </c>
      <c r="K91" s="166">
        <v>45444</v>
      </c>
      <c r="L91" s="162" t="s">
        <v>141</v>
      </c>
    </row>
    <row r="92" spans="1:12" ht="27.6" x14ac:dyDescent="0.3">
      <c r="A92" s="162" t="s">
        <v>172</v>
      </c>
      <c r="B92" s="162">
        <v>2024</v>
      </c>
      <c r="C92" s="162" t="s">
        <v>496</v>
      </c>
      <c r="D92" s="162" t="s">
        <v>139</v>
      </c>
      <c r="E92" s="163" t="s">
        <v>863</v>
      </c>
      <c r="F92" s="167" t="s">
        <v>493</v>
      </c>
      <c r="G92" s="162" t="s">
        <v>137</v>
      </c>
      <c r="H92" s="162" t="s">
        <v>178</v>
      </c>
      <c r="I92" s="165" t="s">
        <v>876</v>
      </c>
      <c r="J92" s="166">
        <v>45383</v>
      </c>
      <c r="K92" s="166">
        <v>45444</v>
      </c>
      <c r="L92" s="162" t="s">
        <v>141</v>
      </c>
    </row>
    <row r="93" spans="1:12" ht="27.6" x14ac:dyDescent="0.3">
      <c r="A93" s="162" t="s">
        <v>172</v>
      </c>
      <c r="B93" s="162">
        <v>2024</v>
      </c>
      <c r="C93" s="162" t="s">
        <v>497</v>
      </c>
      <c r="D93" s="162" t="s">
        <v>139</v>
      </c>
      <c r="E93" s="163" t="s">
        <v>864</v>
      </c>
      <c r="F93" s="167" t="s">
        <v>493</v>
      </c>
      <c r="G93" s="162" t="s">
        <v>137</v>
      </c>
      <c r="H93" s="162" t="s">
        <v>178</v>
      </c>
      <c r="I93" s="165" t="s">
        <v>876</v>
      </c>
      <c r="J93" s="166">
        <v>45383</v>
      </c>
      <c r="K93" s="166">
        <v>45444</v>
      </c>
      <c r="L93" s="162" t="s">
        <v>141</v>
      </c>
    </row>
    <row r="94" spans="1:12" ht="27.6" x14ac:dyDescent="0.3">
      <c r="A94" s="162" t="s">
        <v>172</v>
      </c>
      <c r="B94" s="162">
        <v>2024</v>
      </c>
      <c r="C94" s="162" t="s">
        <v>498</v>
      </c>
      <c r="D94" s="162" t="s">
        <v>139</v>
      </c>
      <c r="E94" s="163" t="s">
        <v>174</v>
      </c>
      <c r="F94" s="167" t="s">
        <v>161</v>
      </c>
      <c r="G94" s="162" t="s">
        <v>137</v>
      </c>
      <c r="H94" s="162" t="s">
        <v>162</v>
      </c>
      <c r="I94" s="165" t="s">
        <v>877</v>
      </c>
      <c r="J94" s="166">
        <v>45324</v>
      </c>
      <c r="K94" s="166">
        <v>45534</v>
      </c>
      <c r="L94" s="162" t="s">
        <v>128</v>
      </c>
    </row>
    <row r="95" spans="1:12" ht="55.2" x14ac:dyDescent="0.3">
      <c r="A95" s="162" t="s">
        <v>172</v>
      </c>
      <c r="B95" s="162">
        <v>2024</v>
      </c>
      <c r="C95" s="162" t="s">
        <v>499</v>
      </c>
      <c r="D95" s="162" t="s">
        <v>125</v>
      </c>
      <c r="E95" s="163" t="s">
        <v>500</v>
      </c>
      <c r="F95" s="167" t="s">
        <v>501</v>
      </c>
      <c r="G95" s="162" t="s">
        <v>150</v>
      </c>
      <c r="H95" s="162" t="s">
        <v>151</v>
      </c>
      <c r="I95" s="165" t="s">
        <v>872</v>
      </c>
      <c r="J95" s="166">
        <v>45293</v>
      </c>
      <c r="K95" s="166">
        <v>45503</v>
      </c>
      <c r="L95" s="162" t="s">
        <v>128</v>
      </c>
    </row>
    <row r="96" spans="1:12" ht="55.2" x14ac:dyDescent="0.3">
      <c r="A96" s="162" t="s">
        <v>172</v>
      </c>
      <c r="B96" s="162">
        <v>2024</v>
      </c>
      <c r="C96" s="162" t="s">
        <v>502</v>
      </c>
      <c r="D96" s="162" t="s">
        <v>125</v>
      </c>
      <c r="E96" s="163" t="s">
        <v>503</v>
      </c>
      <c r="F96" s="167" t="s">
        <v>504</v>
      </c>
      <c r="G96" s="162" t="s">
        <v>126</v>
      </c>
      <c r="H96" s="162" t="s">
        <v>133</v>
      </c>
      <c r="I96" s="165" t="s">
        <v>878</v>
      </c>
      <c r="J96" s="166">
        <v>45269</v>
      </c>
      <c r="K96" s="166">
        <v>45479</v>
      </c>
      <c r="L96" s="162" t="s">
        <v>128</v>
      </c>
    </row>
    <row r="97" spans="1:12" ht="55.2" x14ac:dyDescent="0.3">
      <c r="A97" s="162" t="s">
        <v>172</v>
      </c>
      <c r="B97" s="162">
        <v>2024</v>
      </c>
      <c r="C97" s="162" t="s">
        <v>505</v>
      </c>
      <c r="D97" s="162" t="s">
        <v>125</v>
      </c>
      <c r="E97" s="163" t="s">
        <v>506</v>
      </c>
      <c r="F97" s="167" t="s">
        <v>504</v>
      </c>
      <c r="G97" s="162" t="s">
        <v>126</v>
      </c>
      <c r="H97" s="162" t="s">
        <v>136</v>
      </c>
      <c r="I97" s="165" t="s">
        <v>876</v>
      </c>
      <c r="J97" s="166">
        <v>45255</v>
      </c>
      <c r="K97" s="166">
        <v>45345</v>
      </c>
      <c r="L97" s="162" t="s">
        <v>128</v>
      </c>
    </row>
    <row r="98" spans="1:12" ht="41.4" x14ac:dyDescent="0.3">
      <c r="A98" s="162" t="s">
        <v>172</v>
      </c>
      <c r="B98" s="162">
        <v>2024</v>
      </c>
      <c r="C98" s="162" t="s">
        <v>507</v>
      </c>
      <c r="D98" s="162" t="s">
        <v>125</v>
      </c>
      <c r="E98" s="163" t="s">
        <v>508</v>
      </c>
      <c r="F98" s="167" t="s">
        <v>504</v>
      </c>
      <c r="G98" s="162" t="s">
        <v>126</v>
      </c>
      <c r="H98" s="162" t="s">
        <v>136</v>
      </c>
      <c r="I98" s="165" t="s">
        <v>879</v>
      </c>
      <c r="J98" s="166">
        <v>45196</v>
      </c>
      <c r="K98" s="166">
        <v>45406</v>
      </c>
      <c r="L98" s="162" t="s">
        <v>128</v>
      </c>
    </row>
    <row r="99" spans="1:12" ht="69" x14ac:dyDescent="0.3">
      <c r="A99" s="162" t="s">
        <v>172</v>
      </c>
      <c r="B99" s="162">
        <v>2024</v>
      </c>
      <c r="C99" s="162" t="s">
        <v>509</v>
      </c>
      <c r="D99" s="162" t="s">
        <v>139</v>
      </c>
      <c r="E99" s="163" t="s">
        <v>865</v>
      </c>
      <c r="F99" s="167" t="s">
        <v>504</v>
      </c>
      <c r="G99" s="162" t="s">
        <v>126</v>
      </c>
      <c r="H99" s="162" t="s">
        <v>127</v>
      </c>
      <c r="I99" s="165" t="s">
        <v>880</v>
      </c>
      <c r="J99" s="166">
        <v>45211</v>
      </c>
      <c r="K99" s="166">
        <v>45261</v>
      </c>
      <c r="L99" s="162" t="s">
        <v>141</v>
      </c>
    </row>
    <row r="100" spans="1:12" ht="55.2" x14ac:dyDescent="0.3">
      <c r="A100" s="162" t="s">
        <v>172</v>
      </c>
      <c r="B100" s="162">
        <v>2024</v>
      </c>
      <c r="C100" s="162" t="s">
        <v>510</v>
      </c>
      <c r="D100" s="162" t="s">
        <v>125</v>
      </c>
      <c r="E100" s="163" t="s">
        <v>511</v>
      </c>
      <c r="F100" s="167" t="s">
        <v>504</v>
      </c>
      <c r="G100" s="162" t="s">
        <v>150</v>
      </c>
      <c r="H100" s="162" t="s">
        <v>136</v>
      </c>
      <c r="I100" s="165" t="s">
        <v>881</v>
      </c>
      <c r="J100" s="166">
        <v>45264</v>
      </c>
      <c r="K100" s="166">
        <v>45474</v>
      </c>
      <c r="L100" s="162" t="s">
        <v>128</v>
      </c>
    </row>
    <row r="101" spans="1:12" ht="69" x14ac:dyDescent="0.3">
      <c r="A101" s="162" t="s">
        <v>172</v>
      </c>
      <c r="B101" s="162">
        <v>2024</v>
      </c>
      <c r="C101" s="162" t="s">
        <v>512</v>
      </c>
      <c r="D101" s="162" t="s">
        <v>125</v>
      </c>
      <c r="E101" s="163" t="s">
        <v>513</v>
      </c>
      <c r="F101" s="167" t="s">
        <v>514</v>
      </c>
      <c r="G101" s="162" t="s">
        <v>150</v>
      </c>
      <c r="H101" s="162" t="s">
        <v>136</v>
      </c>
      <c r="I101" s="165" t="s">
        <v>881</v>
      </c>
      <c r="J101" s="166">
        <v>45219</v>
      </c>
      <c r="K101" s="166">
        <v>45505</v>
      </c>
      <c r="L101" s="162" t="s">
        <v>128</v>
      </c>
    </row>
    <row r="102" spans="1:12" ht="110.4" x14ac:dyDescent="0.3">
      <c r="A102" s="162" t="s">
        <v>172</v>
      </c>
      <c r="B102" s="162">
        <v>2024</v>
      </c>
      <c r="C102" s="162" t="s">
        <v>515</v>
      </c>
      <c r="D102" s="162" t="s">
        <v>125</v>
      </c>
      <c r="E102" s="163" t="s">
        <v>866</v>
      </c>
      <c r="F102" s="167" t="s">
        <v>171</v>
      </c>
      <c r="G102" s="162" t="s">
        <v>137</v>
      </c>
      <c r="H102" s="162" t="s">
        <v>178</v>
      </c>
      <c r="I102" s="165" t="s">
        <v>873</v>
      </c>
      <c r="J102" s="166">
        <v>45201</v>
      </c>
      <c r="K102" s="166">
        <v>45241</v>
      </c>
      <c r="L102" s="162" t="s">
        <v>141</v>
      </c>
    </row>
    <row r="103" spans="1:12" s="74" customFormat="1" ht="122.25" customHeight="1" x14ac:dyDescent="0.3">
      <c r="A103" s="162" t="s">
        <v>172</v>
      </c>
      <c r="B103" s="162">
        <v>2024</v>
      </c>
      <c r="C103" s="162" t="s">
        <v>516</v>
      </c>
      <c r="D103" s="162" t="s">
        <v>139</v>
      </c>
      <c r="E103" s="163" t="s">
        <v>517</v>
      </c>
      <c r="F103" s="167" t="s">
        <v>171</v>
      </c>
      <c r="G103" s="162" t="s">
        <v>137</v>
      </c>
      <c r="H103" s="162" t="s">
        <v>323</v>
      </c>
      <c r="I103" s="165" t="s">
        <v>882</v>
      </c>
      <c r="J103" s="166">
        <v>45494</v>
      </c>
      <c r="K103" s="166">
        <v>45534</v>
      </c>
      <c r="L103" s="162" t="s">
        <v>141</v>
      </c>
    </row>
    <row r="104" spans="1:12" s="74" customFormat="1" ht="27.6" x14ac:dyDescent="0.3">
      <c r="A104" s="162" t="s">
        <v>172</v>
      </c>
      <c r="B104" s="162">
        <v>2024</v>
      </c>
      <c r="C104" s="162" t="s">
        <v>518</v>
      </c>
      <c r="D104" s="162" t="s">
        <v>125</v>
      </c>
      <c r="E104" s="163" t="s">
        <v>519</v>
      </c>
      <c r="F104" s="167" t="s">
        <v>171</v>
      </c>
      <c r="G104" s="162" t="s">
        <v>137</v>
      </c>
      <c r="H104" s="162" t="s">
        <v>132</v>
      </c>
      <c r="I104" s="165" t="s">
        <v>882</v>
      </c>
      <c r="J104" s="166">
        <v>45465</v>
      </c>
      <c r="K104" s="166">
        <v>45505</v>
      </c>
      <c r="L104" s="162" t="s">
        <v>141</v>
      </c>
    </row>
    <row r="105" spans="1:12" s="74" customFormat="1" ht="55.2" x14ac:dyDescent="0.3">
      <c r="A105" s="162" t="s">
        <v>172</v>
      </c>
      <c r="B105" s="162">
        <v>2024</v>
      </c>
      <c r="C105" s="162" t="s">
        <v>520</v>
      </c>
      <c r="D105" s="162" t="s">
        <v>125</v>
      </c>
      <c r="E105" s="163" t="s">
        <v>521</v>
      </c>
      <c r="F105" s="167" t="s">
        <v>504</v>
      </c>
      <c r="G105" s="162" t="s">
        <v>143</v>
      </c>
      <c r="H105" s="162" t="s">
        <v>136</v>
      </c>
      <c r="I105" s="165" t="s">
        <v>876</v>
      </c>
      <c r="J105" s="166">
        <v>45255</v>
      </c>
      <c r="K105" s="166">
        <v>45345</v>
      </c>
      <c r="L105" s="162" t="s">
        <v>128</v>
      </c>
    </row>
    <row r="106" spans="1:12" s="74" customFormat="1" ht="55.2" x14ac:dyDescent="0.3">
      <c r="A106" s="162" t="s">
        <v>172</v>
      </c>
      <c r="B106" s="162">
        <v>2024</v>
      </c>
      <c r="C106" s="162" t="s">
        <v>522</v>
      </c>
      <c r="D106" s="162" t="s">
        <v>125</v>
      </c>
      <c r="E106" s="163" t="s">
        <v>523</v>
      </c>
      <c r="F106" s="167" t="s">
        <v>504</v>
      </c>
      <c r="G106" s="162" t="s">
        <v>126</v>
      </c>
      <c r="H106" s="162" t="s">
        <v>130</v>
      </c>
      <c r="I106" s="165" t="s">
        <v>880</v>
      </c>
      <c r="J106" s="166">
        <v>45439</v>
      </c>
      <c r="K106" s="166">
        <v>45559</v>
      </c>
      <c r="L106" s="162" t="s">
        <v>141</v>
      </c>
    </row>
    <row r="107" spans="1:12" s="74" customFormat="1" ht="55.2" x14ac:dyDescent="0.3">
      <c r="A107" s="162" t="s">
        <v>172</v>
      </c>
      <c r="B107" s="162">
        <v>2024</v>
      </c>
      <c r="C107" s="162" t="s">
        <v>524</v>
      </c>
      <c r="D107" s="162" t="s">
        <v>125</v>
      </c>
      <c r="E107" s="163" t="s">
        <v>525</v>
      </c>
      <c r="F107" s="167" t="s">
        <v>504</v>
      </c>
      <c r="G107" s="162" t="s">
        <v>126</v>
      </c>
      <c r="H107" s="162" t="s">
        <v>130</v>
      </c>
      <c r="I107" s="165" t="s">
        <v>880</v>
      </c>
      <c r="J107" s="166">
        <v>45834</v>
      </c>
      <c r="K107" s="166">
        <v>45924</v>
      </c>
      <c r="L107" s="162" t="s">
        <v>141</v>
      </c>
    </row>
    <row r="108" spans="1:12" s="74" customFormat="1" ht="69" x14ac:dyDescent="0.3">
      <c r="A108" s="162" t="s">
        <v>176</v>
      </c>
      <c r="B108" s="162">
        <v>2024</v>
      </c>
      <c r="C108" s="162" t="s">
        <v>526</v>
      </c>
      <c r="D108" s="162" t="s">
        <v>125</v>
      </c>
      <c r="E108" s="163" t="s">
        <v>527</v>
      </c>
      <c r="F108" s="167" t="s">
        <v>528</v>
      </c>
      <c r="G108" s="162" t="s">
        <v>181</v>
      </c>
      <c r="H108" s="162" t="s">
        <v>144</v>
      </c>
      <c r="I108" s="165" t="s">
        <v>177</v>
      </c>
      <c r="J108" s="166">
        <v>45291</v>
      </c>
      <c r="K108" s="166">
        <v>45502</v>
      </c>
      <c r="L108" s="162" t="s">
        <v>128</v>
      </c>
    </row>
    <row r="109" spans="1:12" s="74" customFormat="1" ht="55.2" x14ac:dyDescent="0.3">
      <c r="A109" s="162" t="s">
        <v>179</v>
      </c>
      <c r="B109" s="162">
        <v>2024</v>
      </c>
      <c r="C109" s="162" t="s">
        <v>529</v>
      </c>
      <c r="D109" s="162" t="s">
        <v>125</v>
      </c>
      <c r="E109" s="163" t="s">
        <v>530</v>
      </c>
      <c r="F109" s="167" t="s">
        <v>531</v>
      </c>
      <c r="G109" s="162" t="s">
        <v>137</v>
      </c>
      <c r="H109" s="162" t="s">
        <v>133</v>
      </c>
      <c r="I109" s="165" t="s">
        <v>532</v>
      </c>
      <c r="J109" s="166">
        <v>45315</v>
      </c>
      <c r="K109" s="166">
        <v>45355</v>
      </c>
      <c r="L109" s="162" t="s">
        <v>128</v>
      </c>
    </row>
    <row r="110" spans="1:12" s="74" customFormat="1" ht="55.2" x14ac:dyDescent="0.3">
      <c r="A110" s="162" t="s">
        <v>179</v>
      </c>
      <c r="B110" s="162">
        <v>2024</v>
      </c>
      <c r="C110" s="162" t="s">
        <v>533</v>
      </c>
      <c r="D110" s="162" t="s">
        <v>125</v>
      </c>
      <c r="E110" s="163" t="s">
        <v>534</v>
      </c>
      <c r="F110" s="167" t="s">
        <v>535</v>
      </c>
      <c r="G110" s="162" t="s">
        <v>137</v>
      </c>
      <c r="H110" s="162" t="s">
        <v>144</v>
      </c>
      <c r="I110" s="165" t="s">
        <v>536</v>
      </c>
      <c r="J110" s="166">
        <v>45325</v>
      </c>
      <c r="K110" s="166">
        <v>45365</v>
      </c>
      <c r="L110" s="162" t="s">
        <v>128</v>
      </c>
    </row>
    <row r="111" spans="1:12" s="74" customFormat="1" ht="82.8" x14ac:dyDescent="0.3">
      <c r="A111" s="162" t="s">
        <v>179</v>
      </c>
      <c r="B111" s="162">
        <v>2024</v>
      </c>
      <c r="C111" s="162" t="s">
        <v>537</v>
      </c>
      <c r="D111" s="162" t="s">
        <v>125</v>
      </c>
      <c r="E111" s="163" t="s">
        <v>538</v>
      </c>
      <c r="F111" s="167" t="s">
        <v>161</v>
      </c>
      <c r="G111" s="162" t="s">
        <v>126</v>
      </c>
      <c r="H111" s="162" t="s">
        <v>144</v>
      </c>
      <c r="I111" s="165" t="s">
        <v>539</v>
      </c>
      <c r="J111" s="166">
        <v>45363</v>
      </c>
      <c r="K111" s="166">
        <v>45413</v>
      </c>
      <c r="L111" s="162" t="s">
        <v>128</v>
      </c>
    </row>
    <row r="112" spans="1:12" s="74" customFormat="1" ht="41.4" x14ac:dyDescent="0.3">
      <c r="A112" s="162" t="s">
        <v>179</v>
      </c>
      <c r="B112" s="162">
        <v>2024</v>
      </c>
      <c r="C112" s="162" t="s">
        <v>540</v>
      </c>
      <c r="D112" s="162" t="s">
        <v>125</v>
      </c>
      <c r="E112" s="163" t="s">
        <v>541</v>
      </c>
      <c r="F112" s="167" t="s">
        <v>173</v>
      </c>
      <c r="G112" s="162" t="s">
        <v>137</v>
      </c>
      <c r="H112" s="162" t="s">
        <v>133</v>
      </c>
      <c r="I112" s="165" t="s">
        <v>542</v>
      </c>
      <c r="J112" s="166">
        <v>45462</v>
      </c>
      <c r="K112" s="166">
        <v>45502</v>
      </c>
      <c r="L112" s="162" t="s">
        <v>128</v>
      </c>
    </row>
    <row r="113" spans="1:12" s="74" customFormat="1" ht="55.2" x14ac:dyDescent="0.3">
      <c r="A113" s="162" t="s">
        <v>179</v>
      </c>
      <c r="B113" s="162">
        <v>2024</v>
      </c>
      <c r="C113" s="162" t="s">
        <v>543</v>
      </c>
      <c r="D113" s="162" t="s">
        <v>139</v>
      </c>
      <c r="E113" s="163" t="s">
        <v>544</v>
      </c>
      <c r="F113" s="167" t="s">
        <v>545</v>
      </c>
      <c r="G113" s="162" t="s">
        <v>143</v>
      </c>
      <c r="H113" s="162" t="s">
        <v>127</v>
      </c>
      <c r="I113" s="165" t="s">
        <v>546</v>
      </c>
      <c r="J113" s="166">
        <v>45474</v>
      </c>
      <c r="K113" s="166">
        <v>45534</v>
      </c>
      <c r="L113" s="162" t="s">
        <v>141</v>
      </c>
    </row>
    <row r="114" spans="1:12" s="74" customFormat="1" ht="41.4" x14ac:dyDescent="0.3">
      <c r="A114" s="162" t="s">
        <v>179</v>
      </c>
      <c r="B114" s="162">
        <v>2024</v>
      </c>
      <c r="C114" s="162" t="s">
        <v>547</v>
      </c>
      <c r="D114" s="162" t="s">
        <v>139</v>
      </c>
      <c r="E114" s="163" t="s">
        <v>548</v>
      </c>
      <c r="F114" s="167" t="s">
        <v>545</v>
      </c>
      <c r="G114" s="162" t="s">
        <v>143</v>
      </c>
      <c r="H114" s="162" t="s">
        <v>127</v>
      </c>
      <c r="I114" s="165" t="s">
        <v>546</v>
      </c>
      <c r="J114" s="166">
        <v>45474</v>
      </c>
      <c r="K114" s="166">
        <v>45534</v>
      </c>
      <c r="L114" s="162" t="s">
        <v>141</v>
      </c>
    </row>
    <row r="115" spans="1:12" s="74" customFormat="1" ht="41.4" x14ac:dyDescent="0.3">
      <c r="A115" s="162" t="s">
        <v>179</v>
      </c>
      <c r="B115" s="162">
        <v>2024</v>
      </c>
      <c r="C115" s="162" t="s">
        <v>549</v>
      </c>
      <c r="D115" s="162" t="s">
        <v>139</v>
      </c>
      <c r="E115" s="163" t="s">
        <v>550</v>
      </c>
      <c r="F115" s="167" t="s">
        <v>545</v>
      </c>
      <c r="G115" s="162" t="s">
        <v>143</v>
      </c>
      <c r="H115" s="162" t="s">
        <v>127</v>
      </c>
      <c r="I115" s="165" t="s">
        <v>546</v>
      </c>
      <c r="J115" s="166">
        <v>45474</v>
      </c>
      <c r="K115" s="166">
        <v>45534</v>
      </c>
      <c r="L115" s="162" t="s">
        <v>141</v>
      </c>
    </row>
    <row r="116" spans="1:12" s="74" customFormat="1" ht="105.75" customHeight="1" x14ac:dyDescent="0.3">
      <c r="A116" s="162" t="s">
        <v>179</v>
      </c>
      <c r="B116" s="162">
        <v>2024</v>
      </c>
      <c r="C116" s="162" t="s">
        <v>551</v>
      </c>
      <c r="D116" s="162" t="s">
        <v>139</v>
      </c>
      <c r="E116" s="163" t="s">
        <v>552</v>
      </c>
      <c r="F116" s="167" t="s">
        <v>545</v>
      </c>
      <c r="G116" s="162" t="s">
        <v>143</v>
      </c>
      <c r="H116" s="162" t="s">
        <v>127</v>
      </c>
      <c r="I116" s="165" t="s">
        <v>546</v>
      </c>
      <c r="J116" s="166">
        <v>45474</v>
      </c>
      <c r="K116" s="166">
        <v>45534</v>
      </c>
      <c r="L116" s="162" t="s">
        <v>141</v>
      </c>
    </row>
    <row r="117" spans="1:12" ht="41.4" x14ac:dyDescent="0.3">
      <c r="A117" s="162" t="s">
        <v>179</v>
      </c>
      <c r="B117" s="162">
        <v>2024</v>
      </c>
      <c r="C117" s="162" t="s">
        <v>553</v>
      </c>
      <c r="D117" s="162" t="s">
        <v>139</v>
      </c>
      <c r="E117" s="163" t="s">
        <v>554</v>
      </c>
      <c r="F117" s="167" t="s">
        <v>555</v>
      </c>
      <c r="G117" s="162" t="s">
        <v>126</v>
      </c>
      <c r="H117" s="162" t="s">
        <v>169</v>
      </c>
      <c r="I117" s="165" t="s">
        <v>556</v>
      </c>
      <c r="J117" s="166">
        <v>45385</v>
      </c>
      <c r="K117" s="166">
        <v>45505</v>
      </c>
      <c r="L117" s="162" t="s">
        <v>164</v>
      </c>
    </row>
    <row r="118" spans="1:12" ht="55.2" x14ac:dyDescent="0.3">
      <c r="A118" s="162" t="s">
        <v>179</v>
      </c>
      <c r="B118" s="162">
        <v>2024</v>
      </c>
      <c r="C118" s="162" t="s">
        <v>557</v>
      </c>
      <c r="D118" s="162" t="s">
        <v>139</v>
      </c>
      <c r="E118" s="163" t="s">
        <v>558</v>
      </c>
      <c r="F118" s="167" t="s">
        <v>170</v>
      </c>
      <c r="G118" s="162" t="s">
        <v>137</v>
      </c>
      <c r="H118" s="162" t="s">
        <v>133</v>
      </c>
      <c r="I118" s="165" t="s">
        <v>556</v>
      </c>
      <c r="J118" s="166">
        <v>45416</v>
      </c>
      <c r="K118" s="166">
        <v>45536</v>
      </c>
      <c r="L118" s="162" t="s">
        <v>164</v>
      </c>
    </row>
    <row r="119" spans="1:12" ht="41.4" x14ac:dyDescent="0.3">
      <c r="A119" s="162" t="s">
        <v>179</v>
      </c>
      <c r="B119" s="162">
        <v>2024</v>
      </c>
      <c r="C119" s="162" t="s">
        <v>559</v>
      </c>
      <c r="D119" s="162" t="s">
        <v>139</v>
      </c>
      <c r="E119" s="163" t="s">
        <v>560</v>
      </c>
      <c r="F119" s="167" t="s">
        <v>170</v>
      </c>
      <c r="G119" s="162" t="s">
        <v>137</v>
      </c>
      <c r="H119" s="162" t="s">
        <v>130</v>
      </c>
      <c r="I119" s="165" t="s">
        <v>561</v>
      </c>
      <c r="J119" s="166">
        <v>45261</v>
      </c>
      <c r="K119" s="166">
        <v>45381</v>
      </c>
      <c r="L119" s="162" t="s">
        <v>164</v>
      </c>
    </row>
    <row r="120" spans="1:12" ht="55.2" x14ac:dyDescent="0.3">
      <c r="A120" s="162" t="s">
        <v>179</v>
      </c>
      <c r="B120" s="162">
        <v>2024</v>
      </c>
      <c r="C120" s="162" t="s">
        <v>562</v>
      </c>
      <c r="D120" s="162" t="s">
        <v>139</v>
      </c>
      <c r="E120" s="163" t="s">
        <v>563</v>
      </c>
      <c r="F120" s="167" t="s">
        <v>170</v>
      </c>
      <c r="G120" s="162" t="s">
        <v>126</v>
      </c>
      <c r="H120" s="162" t="s">
        <v>130</v>
      </c>
      <c r="I120" s="165" t="s">
        <v>564</v>
      </c>
      <c r="J120" s="166">
        <v>45385</v>
      </c>
      <c r="K120" s="166">
        <v>45505</v>
      </c>
      <c r="L120" s="162" t="s">
        <v>164</v>
      </c>
    </row>
    <row r="121" spans="1:12" ht="69" x14ac:dyDescent="0.3">
      <c r="A121" s="162" t="s">
        <v>179</v>
      </c>
      <c r="B121" s="162">
        <v>2024</v>
      </c>
      <c r="C121" s="162" t="s">
        <v>565</v>
      </c>
      <c r="D121" s="162" t="s">
        <v>139</v>
      </c>
      <c r="E121" s="163" t="s">
        <v>566</v>
      </c>
      <c r="F121" s="167" t="s">
        <v>161</v>
      </c>
      <c r="G121" s="162" t="s">
        <v>126</v>
      </c>
      <c r="H121" s="162" t="s">
        <v>130</v>
      </c>
      <c r="I121" s="165" t="s">
        <v>567</v>
      </c>
      <c r="J121" s="166">
        <v>45455</v>
      </c>
      <c r="K121" s="166">
        <v>45505</v>
      </c>
      <c r="L121" s="162" t="s">
        <v>141</v>
      </c>
    </row>
    <row r="122" spans="1:12" ht="41.4" x14ac:dyDescent="0.3">
      <c r="A122" s="162" t="s">
        <v>179</v>
      </c>
      <c r="B122" s="162">
        <v>2024</v>
      </c>
      <c r="C122" s="162" t="s">
        <v>568</v>
      </c>
      <c r="D122" s="162" t="s">
        <v>139</v>
      </c>
      <c r="E122" s="163" t="s">
        <v>569</v>
      </c>
      <c r="F122" s="167" t="s">
        <v>570</v>
      </c>
      <c r="G122" s="162" t="s">
        <v>126</v>
      </c>
      <c r="H122" s="162" t="s">
        <v>133</v>
      </c>
      <c r="I122" s="165" t="s">
        <v>567</v>
      </c>
      <c r="J122" s="166">
        <v>45414</v>
      </c>
      <c r="K122" s="166">
        <v>45534</v>
      </c>
      <c r="L122" s="162" t="s">
        <v>164</v>
      </c>
    </row>
    <row r="123" spans="1:12" ht="41.4" x14ac:dyDescent="0.3">
      <c r="A123" s="162" t="s">
        <v>179</v>
      </c>
      <c r="B123" s="162">
        <v>2024</v>
      </c>
      <c r="C123" s="162" t="s">
        <v>571</v>
      </c>
      <c r="D123" s="162" t="s">
        <v>139</v>
      </c>
      <c r="E123" s="163" t="s">
        <v>572</v>
      </c>
      <c r="F123" s="167" t="s">
        <v>570</v>
      </c>
      <c r="G123" s="162" t="s">
        <v>126</v>
      </c>
      <c r="H123" s="162" t="s">
        <v>133</v>
      </c>
      <c r="I123" s="165" t="s">
        <v>567</v>
      </c>
      <c r="J123" s="166">
        <v>45232</v>
      </c>
      <c r="K123" s="166">
        <v>45352</v>
      </c>
      <c r="L123" s="162" t="s">
        <v>164</v>
      </c>
    </row>
    <row r="124" spans="1:12" ht="55.2" x14ac:dyDescent="0.3">
      <c r="A124" s="162" t="s">
        <v>179</v>
      </c>
      <c r="B124" s="162">
        <v>2024</v>
      </c>
      <c r="C124" s="162" t="s">
        <v>573</v>
      </c>
      <c r="D124" s="162" t="s">
        <v>139</v>
      </c>
      <c r="E124" s="163" t="s">
        <v>574</v>
      </c>
      <c r="F124" s="167" t="s">
        <v>545</v>
      </c>
      <c r="G124" s="162" t="s">
        <v>126</v>
      </c>
      <c r="H124" s="162" t="s">
        <v>130</v>
      </c>
      <c r="I124" s="165" t="s">
        <v>567</v>
      </c>
      <c r="J124" s="166">
        <v>45392</v>
      </c>
      <c r="K124" s="166">
        <v>45442</v>
      </c>
      <c r="L124" s="162" t="s">
        <v>141</v>
      </c>
    </row>
    <row r="125" spans="1:12" ht="41.4" x14ac:dyDescent="0.3">
      <c r="A125" s="162" t="s">
        <v>179</v>
      </c>
      <c r="B125" s="162">
        <v>2024</v>
      </c>
      <c r="C125" s="162" t="s">
        <v>575</v>
      </c>
      <c r="D125" s="162" t="s">
        <v>139</v>
      </c>
      <c r="E125" s="163" t="s">
        <v>576</v>
      </c>
      <c r="F125" s="167" t="s">
        <v>555</v>
      </c>
      <c r="G125" s="162" t="s">
        <v>137</v>
      </c>
      <c r="H125" s="162" t="s">
        <v>130</v>
      </c>
      <c r="I125" s="165" t="s">
        <v>577</v>
      </c>
      <c r="J125" s="166">
        <v>45385</v>
      </c>
      <c r="K125" s="166">
        <v>45505</v>
      </c>
      <c r="L125" s="162" t="s">
        <v>164</v>
      </c>
    </row>
    <row r="126" spans="1:12" ht="55.2" x14ac:dyDescent="0.3">
      <c r="A126" s="162" t="s">
        <v>179</v>
      </c>
      <c r="B126" s="162">
        <v>2024</v>
      </c>
      <c r="C126" s="162" t="s">
        <v>578</v>
      </c>
      <c r="D126" s="162" t="s">
        <v>139</v>
      </c>
      <c r="E126" s="163" t="s">
        <v>579</v>
      </c>
      <c r="F126" s="167" t="s">
        <v>555</v>
      </c>
      <c r="G126" s="162" t="s">
        <v>137</v>
      </c>
      <c r="H126" s="162" t="s">
        <v>169</v>
      </c>
      <c r="I126" s="165" t="s">
        <v>577</v>
      </c>
      <c r="J126" s="166">
        <v>45414</v>
      </c>
      <c r="K126" s="166">
        <v>45474</v>
      </c>
      <c r="L126" s="162" t="s">
        <v>164</v>
      </c>
    </row>
    <row r="127" spans="1:12" ht="41.4" x14ac:dyDescent="0.3">
      <c r="A127" s="162" t="s">
        <v>179</v>
      </c>
      <c r="B127" s="162">
        <v>2024</v>
      </c>
      <c r="C127" s="162" t="s">
        <v>580</v>
      </c>
      <c r="D127" s="162" t="s">
        <v>125</v>
      </c>
      <c r="E127" s="163" t="s">
        <v>581</v>
      </c>
      <c r="F127" s="167" t="s">
        <v>135</v>
      </c>
      <c r="G127" s="162" t="s">
        <v>126</v>
      </c>
      <c r="H127" s="162" t="s">
        <v>133</v>
      </c>
      <c r="I127" s="165" t="s">
        <v>582</v>
      </c>
      <c r="J127" s="166">
        <v>45483</v>
      </c>
      <c r="K127" s="166">
        <v>45533</v>
      </c>
      <c r="L127" s="162" t="s">
        <v>141</v>
      </c>
    </row>
    <row r="128" spans="1:12" ht="41.4" x14ac:dyDescent="0.3">
      <c r="A128" s="162" t="s">
        <v>179</v>
      </c>
      <c r="B128" s="162">
        <v>2024</v>
      </c>
      <c r="C128" s="162" t="s">
        <v>583</v>
      </c>
      <c r="D128" s="162" t="s">
        <v>139</v>
      </c>
      <c r="E128" s="163" t="s">
        <v>584</v>
      </c>
      <c r="F128" s="167" t="s">
        <v>170</v>
      </c>
      <c r="G128" s="162" t="s">
        <v>126</v>
      </c>
      <c r="H128" s="162" t="s">
        <v>130</v>
      </c>
      <c r="I128" s="165" t="s">
        <v>585</v>
      </c>
      <c r="J128" s="166">
        <v>45338</v>
      </c>
      <c r="K128" s="166">
        <v>45458</v>
      </c>
      <c r="L128" s="162" t="s">
        <v>164</v>
      </c>
    </row>
    <row r="129" spans="1:12" ht="55.2" x14ac:dyDescent="0.3">
      <c r="A129" s="162" t="s">
        <v>179</v>
      </c>
      <c r="B129" s="162">
        <v>2024</v>
      </c>
      <c r="C129" s="162" t="s">
        <v>586</v>
      </c>
      <c r="D129" s="162" t="s">
        <v>139</v>
      </c>
      <c r="E129" s="163" t="s">
        <v>587</v>
      </c>
      <c r="F129" s="167" t="s">
        <v>170</v>
      </c>
      <c r="G129" s="162" t="s">
        <v>126</v>
      </c>
      <c r="H129" s="162" t="s">
        <v>130</v>
      </c>
      <c r="I129" s="165" t="s">
        <v>585</v>
      </c>
      <c r="J129" s="166">
        <v>45430</v>
      </c>
      <c r="K129" s="166">
        <v>45550</v>
      </c>
      <c r="L129" s="162" t="s">
        <v>164</v>
      </c>
    </row>
    <row r="130" spans="1:12" ht="41.4" x14ac:dyDescent="0.3">
      <c r="A130" s="162" t="s">
        <v>179</v>
      </c>
      <c r="B130" s="162">
        <v>2024</v>
      </c>
      <c r="C130" s="162" t="s">
        <v>588</v>
      </c>
      <c r="D130" s="162" t="s">
        <v>139</v>
      </c>
      <c r="E130" s="163" t="s">
        <v>589</v>
      </c>
      <c r="F130" s="167" t="s">
        <v>590</v>
      </c>
      <c r="G130" s="162" t="s">
        <v>126</v>
      </c>
      <c r="H130" s="162" t="s">
        <v>130</v>
      </c>
      <c r="I130" s="165" t="s">
        <v>539</v>
      </c>
      <c r="J130" s="166">
        <v>45416</v>
      </c>
      <c r="K130" s="166">
        <v>45536</v>
      </c>
      <c r="L130" s="162" t="s">
        <v>164</v>
      </c>
    </row>
    <row r="131" spans="1:12" ht="55.2" x14ac:dyDescent="0.3">
      <c r="A131" s="162" t="s">
        <v>179</v>
      </c>
      <c r="B131" s="162">
        <v>2024</v>
      </c>
      <c r="C131" s="162" t="s">
        <v>591</v>
      </c>
      <c r="D131" s="162" t="s">
        <v>139</v>
      </c>
      <c r="E131" s="163" t="s">
        <v>592</v>
      </c>
      <c r="F131" s="167" t="s">
        <v>590</v>
      </c>
      <c r="G131" s="162" t="s">
        <v>126</v>
      </c>
      <c r="H131" s="162" t="s">
        <v>133</v>
      </c>
      <c r="I131" s="165" t="s">
        <v>539</v>
      </c>
      <c r="J131" s="166">
        <v>45416</v>
      </c>
      <c r="K131" s="166">
        <v>45536</v>
      </c>
      <c r="L131" s="162" t="s">
        <v>164</v>
      </c>
    </row>
    <row r="132" spans="1:12" ht="55.2" x14ac:dyDescent="0.3">
      <c r="A132" s="162" t="s">
        <v>179</v>
      </c>
      <c r="B132" s="162">
        <v>2024</v>
      </c>
      <c r="C132" s="162" t="s">
        <v>593</v>
      </c>
      <c r="D132" s="162" t="s">
        <v>139</v>
      </c>
      <c r="E132" s="163" t="s">
        <v>594</v>
      </c>
      <c r="F132" s="167" t="s">
        <v>170</v>
      </c>
      <c r="G132" s="162" t="s">
        <v>126</v>
      </c>
      <c r="H132" s="162" t="s">
        <v>130</v>
      </c>
      <c r="I132" s="165" t="s">
        <v>539</v>
      </c>
      <c r="J132" s="166">
        <v>45416</v>
      </c>
      <c r="K132" s="166">
        <v>45536</v>
      </c>
      <c r="L132" s="162" t="s">
        <v>164</v>
      </c>
    </row>
    <row r="133" spans="1:12" ht="55.2" x14ac:dyDescent="0.3">
      <c r="A133" s="162" t="s">
        <v>179</v>
      </c>
      <c r="B133" s="162">
        <v>2024</v>
      </c>
      <c r="C133" s="162" t="s">
        <v>595</v>
      </c>
      <c r="D133" s="162" t="s">
        <v>139</v>
      </c>
      <c r="E133" s="163" t="s">
        <v>596</v>
      </c>
      <c r="F133" s="167" t="s">
        <v>555</v>
      </c>
      <c r="G133" s="162" t="s">
        <v>137</v>
      </c>
      <c r="H133" s="162" t="s">
        <v>136</v>
      </c>
      <c r="I133" s="165" t="s">
        <v>597</v>
      </c>
      <c r="J133" s="166">
        <v>45385</v>
      </c>
      <c r="K133" s="166">
        <v>45505</v>
      </c>
      <c r="L133" s="162" t="s">
        <v>164</v>
      </c>
    </row>
    <row r="134" spans="1:12" ht="41.4" x14ac:dyDescent="0.3">
      <c r="A134" s="162" t="s">
        <v>179</v>
      </c>
      <c r="B134" s="162">
        <v>2024</v>
      </c>
      <c r="C134" s="162" t="s">
        <v>598</v>
      </c>
      <c r="D134" s="162" t="s">
        <v>139</v>
      </c>
      <c r="E134" s="163" t="s">
        <v>599</v>
      </c>
      <c r="F134" s="167" t="s">
        <v>161</v>
      </c>
      <c r="G134" s="162" t="s">
        <v>143</v>
      </c>
      <c r="H134" s="162" t="s">
        <v>130</v>
      </c>
      <c r="I134" s="165" t="s">
        <v>600</v>
      </c>
      <c r="J134" s="166">
        <v>45445</v>
      </c>
      <c r="K134" s="166">
        <v>45505</v>
      </c>
      <c r="L134" s="162" t="s">
        <v>141</v>
      </c>
    </row>
    <row r="135" spans="1:12" ht="41.4" x14ac:dyDescent="0.3">
      <c r="A135" s="162" t="s">
        <v>179</v>
      </c>
      <c r="B135" s="162">
        <v>2024</v>
      </c>
      <c r="C135" s="162" t="s">
        <v>601</v>
      </c>
      <c r="D135" s="162" t="s">
        <v>139</v>
      </c>
      <c r="E135" s="163" t="s">
        <v>602</v>
      </c>
      <c r="F135" s="167" t="s">
        <v>170</v>
      </c>
      <c r="G135" s="162" t="s">
        <v>137</v>
      </c>
      <c r="H135" s="162" t="s">
        <v>169</v>
      </c>
      <c r="I135" s="165" t="s">
        <v>556</v>
      </c>
      <c r="J135" s="166">
        <v>45416</v>
      </c>
      <c r="K135" s="166">
        <v>45536</v>
      </c>
      <c r="L135" s="162" t="s">
        <v>164</v>
      </c>
    </row>
    <row r="136" spans="1:12" ht="41.4" x14ac:dyDescent="0.3">
      <c r="A136" s="162" t="s">
        <v>179</v>
      </c>
      <c r="B136" s="162">
        <v>2024</v>
      </c>
      <c r="C136" s="162" t="s">
        <v>603</v>
      </c>
      <c r="D136" s="162" t="s">
        <v>139</v>
      </c>
      <c r="E136" s="163" t="s">
        <v>604</v>
      </c>
      <c r="F136" s="167" t="s">
        <v>545</v>
      </c>
      <c r="G136" s="162" t="s">
        <v>143</v>
      </c>
      <c r="H136" s="162" t="s">
        <v>130</v>
      </c>
      <c r="I136" s="165" t="s">
        <v>567</v>
      </c>
      <c r="J136" s="166">
        <v>45445</v>
      </c>
      <c r="K136" s="166">
        <v>45505</v>
      </c>
      <c r="L136" s="162" t="s">
        <v>141</v>
      </c>
    </row>
    <row r="137" spans="1:12" ht="69" x14ac:dyDescent="0.3">
      <c r="A137" s="162" t="s">
        <v>179</v>
      </c>
      <c r="B137" s="162">
        <v>2024</v>
      </c>
      <c r="C137" s="162" t="s">
        <v>605</v>
      </c>
      <c r="D137" s="162" t="s">
        <v>139</v>
      </c>
      <c r="E137" s="163" t="s">
        <v>606</v>
      </c>
      <c r="F137" s="167" t="s">
        <v>545</v>
      </c>
      <c r="G137" s="162" t="s">
        <v>143</v>
      </c>
      <c r="H137" s="162" t="s">
        <v>127</v>
      </c>
      <c r="I137" s="165" t="s">
        <v>567</v>
      </c>
      <c r="J137" s="166">
        <v>45459</v>
      </c>
      <c r="K137" s="166">
        <v>45519</v>
      </c>
      <c r="L137" s="162" t="s">
        <v>141</v>
      </c>
    </row>
    <row r="138" spans="1:12" ht="69" x14ac:dyDescent="0.3">
      <c r="A138" s="162" t="s">
        <v>179</v>
      </c>
      <c r="B138" s="162">
        <v>2024</v>
      </c>
      <c r="C138" s="162" t="s">
        <v>607</v>
      </c>
      <c r="D138" s="162" t="s">
        <v>139</v>
      </c>
      <c r="E138" s="163" t="s">
        <v>608</v>
      </c>
      <c r="F138" s="167" t="s">
        <v>545</v>
      </c>
      <c r="G138" s="162" t="s">
        <v>143</v>
      </c>
      <c r="H138" s="162" t="s">
        <v>130</v>
      </c>
      <c r="I138" s="165" t="s">
        <v>567</v>
      </c>
      <c r="J138" s="166">
        <v>45475</v>
      </c>
      <c r="K138" s="166">
        <v>45535</v>
      </c>
      <c r="L138" s="162" t="s">
        <v>164</v>
      </c>
    </row>
    <row r="139" spans="1:12" ht="41.4" x14ac:dyDescent="0.3">
      <c r="A139" s="162" t="s">
        <v>179</v>
      </c>
      <c r="B139" s="162">
        <v>2024</v>
      </c>
      <c r="C139" s="162" t="s">
        <v>609</v>
      </c>
      <c r="D139" s="162" t="s">
        <v>139</v>
      </c>
      <c r="E139" s="163" t="s">
        <v>610</v>
      </c>
      <c r="F139" s="167" t="s">
        <v>170</v>
      </c>
      <c r="G139" s="162" t="s">
        <v>137</v>
      </c>
      <c r="H139" s="162" t="s">
        <v>158</v>
      </c>
      <c r="I139" s="165" t="s">
        <v>611</v>
      </c>
      <c r="J139" s="166">
        <v>45416</v>
      </c>
      <c r="K139" s="166">
        <v>45536</v>
      </c>
      <c r="L139" s="162" t="s">
        <v>128</v>
      </c>
    </row>
    <row r="140" spans="1:12" ht="41.4" x14ac:dyDescent="0.3">
      <c r="A140" s="162" t="s">
        <v>179</v>
      </c>
      <c r="B140" s="162">
        <v>2024</v>
      </c>
      <c r="C140" s="162" t="s">
        <v>612</v>
      </c>
      <c r="D140" s="162" t="s">
        <v>139</v>
      </c>
      <c r="E140" s="163" t="s">
        <v>613</v>
      </c>
      <c r="F140" s="167" t="s">
        <v>590</v>
      </c>
      <c r="G140" s="162" t="s">
        <v>126</v>
      </c>
      <c r="H140" s="162" t="s">
        <v>133</v>
      </c>
      <c r="I140" s="165" t="s">
        <v>539</v>
      </c>
      <c r="J140" s="166">
        <v>45385</v>
      </c>
      <c r="K140" s="166">
        <v>45505</v>
      </c>
      <c r="L140" s="162" t="s">
        <v>147</v>
      </c>
    </row>
    <row r="141" spans="1:12" ht="41.4" x14ac:dyDescent="0.3">
      <c r="A141" s="162" t="s">
        <v>182</v>
      </c>
      <c r="B141" s="162">
        <v>2024</v>
      </c>
      <c r="C141" s="162" t="s">
        <v>614</v>
      </c>
      <c r="D141" s="162" t="s">
        <v>139</v>
      </c>
      <c r="E141" s="163" t="s">
        <v>615</v>
      </c>
      <c r="F141" s="167" t="s">
        <v>616</v>
      </c>
      <c r="G141" s="162" t="s">
        <v>126</v>
      </c>
      <c r="H141" s="162" t="s">
        <v>136</v>
      </c>
      <c r="I141" s="165" t="s">
        <v>617</v>
      </c>
      <c r="J141" s="166">
        <v>45474</v>
      </c>
      <c r="K141" s="166">
        <v>45534</v>
      </c>
      <c r="L141" s="162" t="s">
        <v>128</v>
      </c>
    </row>
    <row r="142" spans="1:12" ht="55.2" x14ac:dyDescent="0.3">
      <c r="A142" s="162" t="s">
        <v>182</v>
      </c>
      <c r="B142" s="162">
        <v>2024</v>
      </c>
      <c r="C142" s="162" t="s">
        <v>618</v>
      </c>
      <c r="D142" s="162" t="s">
        <v>139</v>
      </c>
      <c r="E142" s="163" t="s">
        <v>619</v>
      </c>
      <c r="F142" s="167" t="s">
        <v>418</v>
      </c>
      <c r="G142" s="162" t="s">
        <v>143</v>
      </c>
      <c r="H142" s="162" t="s">
        <v>127</v>
      </c>
      <c r="I142" s="165" t="s">
        <v>851</v>
      </c>
      <c r="J142" s="166">
        <v>45473</v>
      </c>
      <c r="K142" s="166">
        <v>45503</v>
      </c>
      <c r="L142" s="162" t="s">
        <v>128</v>
      </c>
    </row>
    <row r="143" spans="1:12" ht="69" x14ac:dyDescent="0.3">
      <c r="A143" s="162" t="s">
        <v>182</v>
      </c>
      <c r="B143" s="162">
        <v>2024</v>
      </c>
      <c r="C143" s="162" t="s">
        <v>620</v>
      </c>
      <c r="D143" s="162" t="s">
        <v>125</v>
      </c>
      <c r="E143" s="163" t="s">
        <v>621</v>
      </c>
      <c r="F143" s="167" t="s">
        <v>171</v>
      </c>
      <c r="G143" s="162" t="s">
        <v>126</v>
      </c>
      <c r="H143" s="162" t="s">
        <v>127</v>
      </c>
      <c r="I143" s="165" t="s">
        <v>617</v>
      </c>
      <c r="J143" s="166">
        <v>45404</v>
      </c>
      <c r="K143" s="166">
        <v>45444</v>
      </c>
      <c r="L143" s="162" t="s">
        <v>128</v>
      </c>
    </row>
    <row r="144" spans="1:12" ht="41.4" x14ac:dyDescent="0.3">
      <c r="A144" s="162" t="s">
        <v>182</v>
      </c>
      <c r="B144" s="162">
        <v>2024</v>
      </c>
      <c r="C144" s="162" t="s">
        <v>622</v>
      </c>
      <c r="D144" s="162" t="s">
        <v>139</v>
      </c>
      <c r="E144" s="163" t="s">
        <v>623</v>
      </c>
      <c r="F144" s="167" t="s">
        <v>161</v>
      </c>
      <c r="G144" s="162" t="s">
        <v>143</v>
      </c>
      <c r="H144" s="162" t="s">
        <v>136</v>
      </c>
      <c r="I144" s="165" t="s">
        <v>617</v>
      </c>
      <c r="J144" s="166">
        <v>45414</v>
      </c>
      <c r="K144" s="166">
        <v>45474</v>
      </c>
      <c r="L144" s="162" t="s">
        <v>294</v>
      </c>
    </row>
    <row r="145" spans="1:12" ht="69" x14ac:dyDescent="0.3">
      <c r="A145" s="162" t="s">
        <v>182</v>
      </c>
      <c r="B145" s="162">
        <v>2024</v>
      </c>
      <c r="C145" s="162" t="s">
        <v>624</v>
      </c>
      <c r="D145" s="162" t="s">
        <v>125</v>
      </c>
      <c r="E145" s="163" t="s">
        <v>625</v>
      </c>
      <c r="F145" s="167" t="s">
        <v>171</v>
      </c>
      <c r="G145" s="162" t="s">
        <v>143</v>
      </c>
      <c r="H145" s="162" t="s">
        <v>133</v>
      </c>
      <c r="I145" s="165" t="s">
        <v>256</v>
      </c>
      <c r="J145" s="166">
        <v>45445</v>
      </c>
      <c r="K145" s="166">
        <v>45505</v>
      </c>
      <c r="L145" s="162" t="s">
        <v>128</v>
      </c>
    </row>
    <row r="146" spans="1:12" ht="69" x14ac:dyDescent="0.3">
      <c r="A146" s="162" t="s">
        <v>182</v>
      </c>
      <c r="B146" s="162">
        <v>2024</v>
      </c>
      <c r="C146" s="162" t="s">
        <v>626</v>
      </c>
      <c r="D146" s="162" t="s">
        <v>139</v>
      </c>
      <c r="E146" s="163" t="s">
        <v>627</v>
      </c>
      <c r="F146" s="167" t="s">
        <v>161</v>
      </c>
      <c r="G146" s="162" t="s">
        <v>143</v>
      </c>
      <c r="H146" s="162" t="s">
        <v>127</v>
      </c>
      <c r="I146" s="165" t="s">
        <v>851</v>
      </c>
      <c r="J146" s="166">
        <v>45283</v>
      </c>
      <c r="K146" s="166">
        <v>45323</v>
      </c>
      <c r="L146" s="162" t="s">
        <v>128</v>
      </c>
    </row>
    <row r="147" spans="1:12" ht="41.4" x14ac:dyDescent="0.3">
      <c r="A147" s="162" t="s">
        <v>182</v>
      </c>
      <c r="B147" s="162">
        <v>2024</v>
      </c>
      <c r="C147" s="162" t="s">
        <v>628</v>
      </c>
      <c r="D147" s="162" t="s">
        <v>139</v>
      </c>
      <c r="E147" s="163" t="s">
        <v>629</v>
      </c>
      <c r="F147" s="167" t="s">
        <v>161</v>
      </c>
      <c r="G147" s="162" t="s">
        <v>143</v>
      </c>
      <c r="H147" s="162" t="s">
        <v>169</v>
      </c>
      <c r="I147" s="165" t="s">
        <v>617</v>
      </c>
      <c r="J147" s="166">
        <v>45476</v>
      </c>
      <c r="K147" s="166">
        <v>45536</v>
      </c>
      <c r="L147" s="162" t="s">
        <v>128</v>
      </c>
    </row>
    <row r="148" spans="1:12" ht="55.2" x14ac:dyDescent="0.3">
      <c r="A148" s="162" t="s">
        <v>182</v>
      </c>
      <c r="B148" s="162">
        <v>2024</v>
      </c>
      <c r="C148" s="162" t="s">
        <v>630</v>
      </c>
      <c r="D148" s="162" t="s">
        <v>139</v>
      </c>
      <c r="E148" s="163" t="s">
        <v>631</v>
      </c>
      <c r="F148" s="167" t="s">
        <v>161</v>
      </c>
      <c r="G148" s="162" t="s">
        <v>143</v>
      </c>
      <c r="H148" s="162" t="s">
        <v>144</v>
      </c>
      <c r="I148" s="165" t="s">
        <v>617</v>
      </c>
      <c r="J148" s="166">
        <v>45414</v>
      </c>
      <c r="K148" s="166">
        <v>45474</v>
      </c>
      <c r="L148" s="162" t="s">
        <v>128</v>
      </c>
    </row>
    <row r="149" spans="1:12" ht="69" x14ac:dyDescent="0.3">
      <c r="A149" s="162" t="s">
        <v>182</v>
      </c>
      <c r="B149" s="162">
        <v>2024</v>
      </c>
      <c r="C149" s="162" t="s">
        <v>632</v>
      </c>
      <c r="D149" s="162" t="s">
        <v>139</v>
      </c>
      <c r="E149" s="163" t="s">
        <v>633</v>
      </c>
      <c r="F149" s="167" t="s">
        <v>161</v>
      </c>
      <c r="G149" s="162" t="s">
        <v>143</v>
      </c>
      <c r="H149" s="162" t="s">
        <v>133</v>
      </c>
      <c r="I149" s="165" t="s">
        <v>617</v>
      </c>
      <c r="J149" s="166">
        <v>45384</v>
      </c>
      <c r="K149" s="166">
        <v>45444</v>
      </c>
      <c r="L149" s="162" t="s">
        <v>128</v>
      </c>
    </row>
    <row r="150" spans="1:12" ht="69" x14ac:dyDescent="0.3">
      <c r="A150" s="162" t="s">
        <v>182</v>
      </c>
      <c r="B150" s="162">
        <v>2024</v>
      </c>
      <c r="C150" s="162" t="s">
        <v>634</v>
      </c>
      <c r="D150" s="162" t="s">
        <v>139</v>
      </c>
      <c r="E150" s="163" t="s">
        <v>635</v>
      </c>
      <c r="F150" s="167" t="s">
        <v>161</v>
      </c>
      <c r="G150" s="162" t="s">
        <v>143</v>
      </c>
      <c r="H150" s="162" t="s">
        <v>144</v>
      </c>
      <c r="I150" s="165" t="s">
        <v>617</v>
      </c>
      <c r="J150" s="166">
        <v>45353</v>
      </c>
      <c r="K150" s="166">
        <v>45413</v>
      </c>
      <c r="L150" s="162" t="s">
        <v>128</v>
      </c>
    </row>
    <row r="151" spans="1:12" ht="82.8" x14ac:dyDescent="0.3">
      <c r="A151" s="162" t="s">
        <v>182</v>
      </c>
      <c r="B151" s="162">
        <v>2024</v>
      </c>
      <c r="C151" s="162" t="s">
        <v>636</v>
      </c>
      <c r="D151" s="162" t="s">
        <v>139</v>
      </c>
      <c r="E151" s="163" t="s">
        <v>637</v>
      </c>
      <c r="F151" s="167" t="s">
        <v>161</v>
      </c>
      <c r="G151" s="162" t="s">
        <v>143</v>
      </c>
      <c r="H151" s="162" t="s">
        <v>133</v>
      </c>
      <c r="I151" s="165" t="s">
        <v>617</v>
      </c>
      <c r="J151" s="166">
        <v>45353</v>
      </c>
      <c r="K151" s="166">
        <v>45413</v>
      </c>
      <c r="L151" s="162" t="s">
        <v>128</v>
      </c>
    </row>
    <row r="152" spans="1:12" ht="69" x14ac:dyDescent="0.3">
      <c r="A152" s="162" t="s">
        <v>182</v>
      </c>
      <c r="B152" s="162">
        <v>2024</v>
      </c>
      <c r="C152" s="162" t="s">
        <v>638</v>
      </c>
      <c r="D152" s="162" t="s">
        <v>139</v>
      </c>
      <c r="E152" s="163" t="s">
        <v>639</v>
      </c>
      <c r="F152" s="167" t="s">
        <v>161</v>
      </c>
      <c r="G152" s="162" t="s">
        <v>143</v>
      </c>
      <c r="H152" s="162" t="s">
        <v>133</v>
      </c>
      <c r="I152" s="165" t="s">
        <v>617</v>
      </c>
      <c r="J152" s="166">
        <v>45445</v>
      </c>
      <c r="K152" s="166">
        <v>45505</v>
      </c>
      <c r="L152" s="162" t="s">
        <v>128</v>
      </c>
    </row>
    <row r="153" spans="1:12" ht="69" x14ac:dyDescent="0.3">
      <c r="A153" s="162" t="s">
        <v>182</v>
      </c>
      <c r="B153" s="162">
        <v>2024</v>
      </c>
      <c r="C153" s="162" t="s">
        <v>640</v>
      </c>
      <c r="D153" s="162" t="s">
        <v>139</v>
      </c>
      <c r="E153" s="163" t="s">
        <v>641</v>
      </c>
      <c r="F153" s="167" t="s">
        <v>171</v>
      </c>
      <c r="G153" s="162" t="s">
        <v>143</v>
      </c>
      <c r="H153" s="162" t="s">
        <v>133</v>
      </c>
      <c r="I153" s="165" t="s">
        <v>617</v>
      </c>
      <c r="J153" s="166">
        <v>45414</v>
      </c>
      <c r="K153" s="166">
        <v>45474</v>
      </c>
      <c r="L153" s="162" t="s">
        <v>128</v>
      </c>
    </row>
    <row r="154" spans="1:12" ht="41.4" x14ac:dyDescent="0.3">
      <c r="A154" s="162" t="s">
        <v>182</v>
      </c>
      <c r="B154" s="162">
        <v>2024</v>
      </c>
      <c r="C154" s="162" t="s">
        <v>642</v>
      </c>
      <c r="D154" s="162" t="s">
        <v>139</v>
      </c>
      <c r="E154" s="163" t="s">
        <v>643</v>
      </c>
      <c r="F154" s="167" t="s">
        <v>161</v>
      </c>
      <c r="G154" s="162" t="s">
        <v>126</v>
      </c>
      <c r="H154" s="162" t="s">
        <v>156</v>
      </c>
      <c r="I154" s="165" t="s">
        <v>852</v>
      </c>
      <c r="J154" s="166">
        <v>45295</v>
      </c>
      <c r="K154" s="166">
        <v>45508</v>
      </c>
      <c r="L154" s="162" t="s">
        <v>128</v>
      </c>
    </row>
    <row r="155" spans="1:12" ht="41.4" x14ac:dyDescent="0.3">
      <c r="A155" s="162" t="s">
        <v>182</v>
      </c>
      <c r="B155" s="162">
        <v>2024</v>
      </c>
      <c r="C155" s="162" t="s">
        <v>644</v>
      </c>
      <c r="D155" s="162" t="s">
        <v>139</v>
      </c>
      <c r="E155" s="163" t="s">
        <v>645</v>
      </c>
      <c r="F155" s="167" t="s">
        <v>646</v>
      </c>
      <c r="G155" s="162" t="s">
        <v>137</v>
      </c>
      <c r="H155" s="162" t="s">
        <v>133</v>
      </c>
      <c r="I155" s="165" t="s">
        <v>183</v>
      </c>
      <c r="J155" s="166">
        <v>45434</v>
      </c>
      <c r="K155" s="166">
        <v>45474</v>
      </c>
      <c r="L155" s="162" t="s">
        <v>128</v>
      </c>
    </row>
    <row r="156" spans="1:12" ht="41.4" x14ac:dyDescent="0.3">
      <c r="A156" s="162" t="s">
        <v>182</v>
      </c>
      <c r="B156" s="162">
        <v>2024</v>
      </c>
      <c r="C156" s="162" t="s">
        <v>647</v>
      </c>
      <c r="D156" s="162" t="s">
        <v>139</v>
      </c>
      <c r="E156" s="163" t="s">
        <v>648</v>
      </c>
      <c r="F156" s="167" t="s">
        <v>161</v>
      </c>
      <c r="G156" s="162" t="s">
        <v>150</v>
      </c>
      <c r="H156" s="162" t="s">
        <v>156</v>
      </c>
      <c r="I156" s="165" t="s">
        <v>852</v>
      </c>
      <c r="J156" s="166">
        <v>45323</v>
      </c>
      <c r="K156" s="166">
        <v>45536</v>
      </c>
      <c r="L156" s="162" t="s">
        <v>128</v>
      </c>
    </row>
    <row r="157" spans="1:12" ht="69" x14ac:dyDescent="0.3">
      <c r="A157" s="162" t="s">
        <v>182</v>
      </c>
      <c r="B157" s="162">
        <v>2024</v>
      </c>
      <c r="C157" s="162" t="s">
        <v>649</v>
      </c>
      <c r="D157" s="162" t="s">
        <v>139</v>
      </c>
      <c r="E157" s="163" t="s">
        <v>650</v>
      </c>
      <c r="F157" s="167" t="s">
        <v>161</v>
      </c>
      <c r="G157" s="162" t="s">
        <v>150</v>
      </c>
      <c r="H157" s="162" t="s">
        <v>158</v>
      </c>
      <c r="I157" s="165" t="s">
        <v>617</v>
      </c>
      <c r="J157" s="166">
        <v>45324</v>
      </c>
      <c r="K157" s="166">
        <v>45534</v>
      </c>
      <c r="L157" s="162" t="s">
        <v>128</v>
      </c>
    </row>
    <row r="158" spans="1:12" ht="69" x14ac:dyDescent="0.3">
      <c r="A158" s="162" t="s">
        <v>182</v>
      </c>
      <c r="B158" s="162">
        <v>2024</v>
      </c>
      <c r="C158" s="162" t="s">
        <v>651</v>
      </c>
      <c r="D158" s="162" t="s">
        <v>139</v>
      </c>
      <c r="E158" s="163" t="s">
        <v>652</v>
      </c>
      <c r="F158" s="167" t="s">
        <v>167</v>
      </c>
      <c r="G158" s="162" t="s">
        <v>150</v>
      </c>
      <c r="H158" s="162" t="s">
        <v>156</v>
      </c>
      <c r="I158" s="165" t="s">
        <v>183</v>
      </c>
      <c r="J158" s="166">
        <v>45264</v>
      </c>
      <c r="K158" s="166">
        <v>45474</v>
      </c>
      <c r="L158" s="162" t="s">
        <v>128</v>
      </c>
    </row>
    <row r="159" spans="1:12" ht="41.4" x14ac:dyDescent="0.3">
      <c r="A159" s="162" t="s">
        <v>124</v>
      </c>
      <c r="B159" s="162">
        <v>2025</v>
      </c>
      <c r="C159" s="162" t="s">
        <v>653</v>
      </c>
      <c r="D159" s="162" t="s">
        <v>125</v>
      </c>
      <c r="E159" s="163" t="s">
        <v>654</v>
      </c>
      <c r="F159" s="167" t="s">
        <v>655</v>
      </c>
      <c r="G159" s="162" t="s">
        <v>143</v>
      </c>
      <c r="H159" s="162" t="s">
        <v>144</v>
      </c>
      <c r="I159" s="165" t="s">
        <v>131</v>
      </c>
      <c r="J159" s="166">
        <v>45809</v>
      </c>
      <c r="K159" s="166">
        <v>45869</v>
      </c>
      <c r="L159" s="162" t="s">
        <v>128</v>
      </c>
    </row>
    <row r="160" spans="1:12" ht="55.2" x14ac:dyDescent="0.3">
      <c r="A160" s="162" t="s">
        <v>124</v>
      </c>
      <c r="B160" s="162">
        <v>2025</v>
      </c>
      <c r="C160" s="162" t="s">
        <v>656</v>
      </c>
      <c r="D160" s="162" t="s">
        <v>125</v>
      </c>
      <c r="E160" s="163" t="s">
        <v>657</v>
      </c>
      <c r="F160" s="167" t="s">
        <v>175</v>
      </c>
      <c r="G160" s="162" t="s">
        <v>126</v>
      </c>
      <c r="H160" s="162" t="s">
        <v>130</v>
      </c>
      <c r="I160" s="165" t="s">
        <v>287</v>
      </c>
      <c r="J160" s="166">
        <v>45751</v>
      </c>
      <c r="K160" s="166">
        <v>45871</v>
      </c>
      <c r="L160" s="162" t="s">
        <v>128</v>
      </c>
    </row>
    <row r="161" spans="1:12" ht="41.4" x14ac:dyDescent="0.3">
      <c r="A161" s="162" t="s">
        <v>124</v>
      </c>
      <c r="B161" s="162">
        <v>2025</v>
      </c>
      <c r="C161" s="162" t="s">
        <v>658</v>
      </c>
      <c r="D161" s="162" t="s">
        <v>125</v>
      </c>
      <c r="E161" s="163" t="s">
        <v>659</v>
      </c>
      <c r="F161" s="167" t="s">
        <v>660</v>
      </c>
      <c r="G161" s="162" t="s">
        <v>137</v>
      </c>
      <c r="H161" s="162" t="s">
        <v>132</v>
      </c>
      <c r="I161" s="165" t="s">
        <v>661</v>
      </c>
      <c r="J161" s="166">
        <v>45767</v>
      </c>
      <c r="K161" s="166">
        <v>45817</v>
      </c>
      <c r="L161" s="162" t="s">
        <v>128</v>
      </c>
    </row>
    <row r="162" spans="1:12" ht="27.6" x14ac:dyDescent="0.3">
      <c r="A162" s="162" t="s">
        <v>124</v>
      </c>
      <c r="B162" s="162">
        <v>2025</v>
      </c>
      <c r="C162" s="162" t="s">
        <v>662</v>
      </c>
      <c r="D162" s="162" t="s">
        <v>125</v>
      </c>
      <c r="E162" s="163" t="s">
        <v>663</v>
      </c>
      <c r="F162" s="167" t="s">
        <v>305</v>
      </c>
      <c r="G162" s="162" t="s">
        <v>137</v>
      </c>
      <c r="H162" s="162" t="s">
        <v>132</v>
      </c>
      <c r="I162" s="165" t="s">
        <v>302</v>
      </c>
      <c r="J162" s="166">
        <v>45831</v>
      </c>
      <c r="K162" s="166">
        <v>45870</v>
      </c>
      <c r="L162" s="162" t="s">
        <v>141</v>
      </c>
    </row>
    <row r="163" spans="1:12" ht="27.6" x14ac:dyDescent="0.3">
      <c r="A163" s="162" t="s">
        <v>138</v>
      </c>
      <c r="B163" s="162">
        <v>2025</v>
      </c>
      <c r="C163" s="162" t="s">
        <v>664</v>
      </c>
      <c r="D163" s="162" t="s">
        <v>125</v>
      </c>
      <c r="E163" s="163" t="s">
        <v>665</v>
      </c>
      <c r="F163" s="167" t="s">
        <v>666</v>
      </c>
      <c r="G163" s="162" t="s">
        <v>126</v>
      </c>
      <c r="H163" s="162" t="s">
        <v>127</v>
      </c>
      <c r="I163" s="165" t="s">
        <v>142</v>
      </c>
      <c r="J163" s="166">
        <v>45537</v>
      </c>
      <c r="K163" s="166">
        <v>45657</v>
      </c>
      <c r="L163" s="162" t="s">
        <v>294</v>
      </c>
    </row>
    <row r="164" spans="1:12" ht="27.6" x14ac:dyDescent="0.3">
      <c r="A164" s="162" t="s">
        <v>138</v>
      </c>
      <c r="B164" s="162">
        <v>2025</v>
      </c>
      <c r="C164" s="162" t="s">
        <v>667</v>
      </c>
      <c r="D164" s="162" t="s">
        <v>139</v>
      </c>
      <c r="E164" s="163" t="s">
        <v>140</v>
      </c>
      <c r="F164" s="167" t="s">
        <v>329</v>
      </c>
      <c r="G164" s="162" t="s">
        <v>137</v>
      </c>
      <c r="H164" s="162" t="s">
        <v>323</v>
      </c>
      <c r="I164" s="165" t="s">
        <v>330</v>
      </c>
      <c r="J164" s="166">
        <v>45859</v>
      </c>
      <c r="K164" s="166">
        <v>45899</v>
      </c>
      <c r="L164" s="162" t="s">
        <v>141</v>
      </c>
    </row>
    <row r="165" spans="1:12" ht="55.2" x14ac:dyDescent="0.3">
      <c r="A165" s="162" t="s">
        <v>138</v>
      </c>
      <c r="B165" s="162">
        <v>2025</v>
      </c>
      <c r="C165" s="162" t="s">
        <v>668</v>
      </c>
      <c r="D165" s="162" t="s">
        <v>139</v>
      </c>
      <c r="E165" s="163" t="s">
        <v>669</v>
      </c>
      <c r="F165" s="167" t="s">
        <v>340</v>
      </c>
      <c r="G165" s="162" t="s">
        <v>137</v>
      </c>
      <c r="H165" s="162" t="s">
        <v>341</v>
      </c>
      <c r="I165" s="165" t="s">
        <v>342</v>
      </c>
      <c r="J165" s="166">
        <v>45667</v>
      </c>
      <c r="K165" s="166">
        <v>45702</v>
      </c>
      <c r="L165" s="162" t="s">
        <v>141</v>
      </c>
    </row>
    <row r="166" spans="1:12" ht="27.6" x14ac:dyDescent="0.3">
      <c r="A166" s="162" t="s">
        <v>138</v>
      </c>
      <c r="B166" s="162">
        <v>2025</v>
      </c>
      <c r="C166" s="162" t="s">
        <v>670</v>
      </c>
      <c r="D166" s="162" t="s">
        <v>139</v>
      </c>
      <c r="E166" s="163" t="s">
        <v>344</v>
      </c>
      <c r="F166" s="167" t="s">
        <v>292</v>
      </c>
      <c r="G166" s="162" t="s">
        <v>126</v>
      </c>
      <c r="H166" s="162" t="s">
        <v>345</v>
      </c>
      <c r="I166" s="165" t="s">
        <v>342</v>
      </c>
      <c r="J166" s="166">
        <v>45667</v>
      </c>
      <c r="K166" s="166">
        <v>45716</v>
      </c>
      <c r="L166" s="162" t="s">
        <v>141</v>
      </c>
    </row>
    <row r="167" spans="1:12" ht="27.6" x14ac:dyDescent="0.3">
      <c r="A167" s="162" t="s">
        <v>138</v>
      </c>
      <c r="B167" s="162">
        <v>2025</v>
      </c>
      <c r="C167" s="162" t="s">
        <v>671</v>
      </c>
      <c r="D167" s="162" t="s">
        <v>125</v>
      </c>
      <c r="E167" s="163" t="s">
        <v>672</v>
      </c>
      <c r="F167" s="167" t="s">
        <v>356</v>
      </c>
      <c r="G167" s="162" t="s">
        <v>126</v>
      </c>
      <c r="H167" s="162" t="s">
        <v>345</v>
      </c>
      <c r="I167" s="165" t="s">
        <v>142</v>
      </c>
      <c r="J167" s="166">
        <v>45757</v>
      </c>
      <c r="K167" s="166">
        <v>45807</v>
      </c>
      <c r="L167" s="162" t="s">
        <v>141</v>
      </c>
    </row>
    <row r="168" spans="1:12" ht="55.2" x14ac:dyDescent="0.3">
      <c r="A168" s="162" t="s">
        <v>148</v>
      </c>
      <c r="B168" s="162">
        <v>2025</v>
      </c>
      <c r="C168" s="162" t="s">
        <v>673</v>
      </c>
      <c r="D168" s="162" t="s">
        <v>125</v>
      </c>
      <c r="E168" s="163" t="s">
        <v>674</v>
      </c>
      <c r="F168" s="167" t="s">
        <v>134</v>
      </c>
      <c r="G168" s="162" t="s">
        <v>163</v>
      </c>
      <c r="H168" s="162" t="s">
        <v>136</v>
      </c>
      <c r="I168" s="165" t="s">
        <v>675</v>
      </c>
      <c r="J168" s="166">
        <v>45520</v>
      </c>
      <c r="K168" s="166">
        <v>45566</v>
      </c>
      <c r="L168" s="162" t="s">
        <v>128</v>
      </c>
    </row>
    <row r="169" spans="1:12" ht="55.2" x14ac:dyDescent="0.3">
      <c r="A169" s="162" t="s">
        <v>148</v>
      </c>
      <c r="B169" s="162">
        <v>2025</v>
      </c>
      <c r="C169" s="162" t="s">
        <v>676</v>
      </c>
      <c r="D169" s="162" t="s">
        <v>125</v>
      </c>
      <c r="E169" s="163" t="s">
        <v>677</v>
      </c>
      <c r="F169" s="167" t="s">
        <v>350</v>
      </c>
      <c r="G169" s="162" t="s">
        <v>126</v>
      </c>
      <c r="H169" s="162" t="s">
        <v>132</v>
      </c>
      <c r="I169" s="165" t="s">
        <v>351</v>
      </c>
      <c r="J169" s="166">
        <v>45659</v>
      </c>
      <c r="K169" s="166">
        <v>45779</v>
      </c>
      <c r="L169" s="162" t="s">
        <v>141</v>
      </c>
    </row>
    <row r="170" spans="1:12" ht="69" x14ac:dyDescent="0.3">
      <c r="A170" s="162" t="s">
        <v>148</v>
      </c>
      <c r="B170" s="162">
        <v>2025</v>
      </c>
      <c r="C170" s="162" t="s">
        <v>678</v>
      </c>
      <c r="D170" s="162" t="s">
        <v>125</v>
      </c>
      <c r="E170" s="163" t="s">
        <v>679</v>
      </c>
      <c r="F170" s="167" t="s">
        <v>134</v>
      </c>
      <c r="G170" s="162" t="s">
        <v>143</v>
      </c>
      <c r="H170" s="162" t="s">
        <v>136</v>
      </c>
      <c r="I170" s="165" t="s">
        <v>351</v>
      </c>
      <c r="J170" s="166">
        <v>45576</v>
      </c>
      <c r="K170" s="166">
        <v>45636</v>
      </c>
      <c r="L170" s="162" t="s">
        <v>128</v>
      </c>
    </row>
    <row r="171" spans="1:12" ht="55.2" x14ac:dyDescent="0.3">
      <c r="A171" s="162" t="s">
        <v>148</v>
      </c>
      <c r="B171" s="162">
        <v>2025</v>
      </c>
      <c r="C171" s="162" t="s">
        <v>680</v>
      </c>
      <c r="D171" s="162" t="s">
        <v>125</v>
      </c>
      <c r="E171" s="163" t="s">
        <v>681</v>
      </c>
      <c r="F171" s="167" t="s">
        <v>157</v>
      </c>
      <c r="G171" s="162" t="s">
        <v>126</v>
      </c>
      <c r="H171" s="162" t="s">
        <v>136</v>
      </c>
      <c r="I171" s="165" t="s">
        <v>682</v>
      </c>
      <c r="J171" s="166">
        <v>45705</v>
      </c>
      <c r="K171" s="166">
        <v>45825</v>
      </c>
      <c r="L171" s="162" t="s">
        <v>294</v>
      </c>
    </row>
    <row r="172" spans="1:12" ht="96.6" x14ac:dyDescent="0.3">
      <c r="A172" s="162" t="s">
        <v>148</v>
      </c>
      <c r="B172" s="162">
        <v>2025</v>
      </c>
      <c r="C172" s="162" t="s">
        <v>683</v>
      </c>
      <c r="D172" s="162" t="s">
        <v>125</v>
      </c>
      <c r="E172" s="163" t="s">
        <v>684</v>
      </c>
      <c r="F172" s="167" t="s">
        <v>134</v>
      </c>
      <c r="G172" s="162" t="s">
        <v>163</v>
      </c>
      <c r="H172" s="162" t="s">
        <v>156</v>
      </c>
      <c r="I172" s="165" t="s">
        <v>682</v>
      </c>
      <c r="J172" s="166">
        <v>45594</v>
      </c>
      <c r="K172" s="166">
        <v>45639</v>
      </c>
      <c r="L172" s="162" t="s">
        <v>164</v>
      </c>
    </row>
    <row r="173" spans="1:12" ht="55.2" x14ac:dyDescent="0.3">
      <c r="A173" s="162" t="s">
        <v>148</v>
      </c>
      <c r="B173" s="162">
        <v>2025</v>
      </c>
      <c r="C173" s="162" t="s">
        <v>685</v>
      </c>
      <c r="D173" s="162" t="s">
        <v>125</v>
      </c>
      <c r="E173" s="163" t="s">
        <v>686</v>
      </c>
      <c r="F173" s="167" t="s">
        <v>157</v>
      </c>
      <c r="G173" s="162" t="s">
        <v>126</v>
      </c>
      <c r="H173" s="162" t="s">
        <v>151</v>
      </c>
      <c r="I173" s="165" t="s">
        <v>153</v>
      </c>
      <c r="J173" s="166">
        <v>45569</v>
      </c>
      <c r="K173" s="166">
        <v>45688</v>
      </c>
      <c r="L173" s="162" t="s">
        <v>146</v>
      </c>
    </row>
    <row r="174" spans="1:12" ht="55.2" x14ac:dyDescent="0.3">
      <c r="A174" s="162" t="s">
        <v>148</v>
      </c>
      <c r="B174" s="162">
        <v>2025</v>
      </c>
      <c r="C174" s="162" t="s">
        <v>687</v>
      </c>
      <c r="D174" s="162" t="s">
        <v>125</v>
      </c>
      <c r="E174" s="163" t="s">
        <v>688</v>
      </c>
      <c r="F174" s="167" t="s">
        <v>157</v>
      </c>
      <c r="G174" s="162" t="s">
        <v>126</v>
      </c>
      <c r="H174" s="162" t="s">
        <v>133</v>
      </c>
      <c r="I174" s="165" t="s">
        <v>351</v>
      </c>
      <c r="J174" s="166">
        <v>45569</v>
      </c>
      <c r="K174" s="166">
        <v>45688</v>
      </c>
      <c r="L174" s="162" t="s">
        <v>141</v>
      </c>
    </row>
    <row r="175" spans="1:12" ht="55.2" x14ac:dyDescent="0.3">
      <c r="A175" s="162" t="s">
        <v>148</v>
      </c>
      <c r="B175" s="162">
        <v>2025</v>
      </c>
      <c r="C175" s="162" t="s">
        <v>689</v>
      </c>
      <c r="D175" s="162" t="s">
        <v>125</v>
      </c>
      <c r="E175" s="163" t="s">
        <v>690</v>
      </c>
      <c r="F175" s="167" t="s">
        <v>691</v>
      </c>
      <c r="G175" s="162" t="s">
        <v>126</v>
      </c>
      <c r="H175" s="162" t="s">
        <v>151</v>
      </c>
      <c r="I175" s="165" t="s">
        <v>159</v>
      </c>
      <c r="J175" s="166">
        <v>45476</v>
      </c>
      <c r="K175" s="166">
        <v>45597</v>
      </c>
      <c r="L175" s="162" t="s">
        <v>141</v>
      </c>
    </row>
    <row r="176" spans="1:12" ht="41.4" x14ac:dyDescent="0.3">
      <c r="A176" s="162" t="s">
        <v>160</v>
      </c>
      <c r="B176" s="162">
        <v>2025</v>
      </c>
      <c r="C176" s="162" t="s">
        <v>692</v>
      </c>
      <c r="D176" s="162" t="s">
        <v>139</v>
      </c>
      <c r="E176" s="163" t="s">
        <v>375</v>
      </c>
      <c r="F176" s="167" t="s">
        <v>319</v>
      </c>
      <c r="G176" s="162" t="s">
        <v>137</v>
      </c>
      <c r="H176" s="162" t="s">
        <v>323</v>
      </c>
      <c r="I176" s="165" t="s">
        <v>342</v>
      </c>
      <c r="J176" s="166">
        <v>45778</v>
      </c>
      <c r="K176" s="166">
        <v>45818</v>
      </c>
      <c r="L176" s="162" t="s">
        <v>141</v>
      </c>
    </row>
    <row r="177" spans="1:12" ht="55.2" x14ac:dyDescent="0.3">
      <c r="A177" s="162" t="s">
        <v>402</v>
      </c>
      <c r="B177" s="162">
        <v>2025</v>
      </c>
      <c r="C177" s="162" t="s">
        <v>693</v>
      </c>
      <c r="D177" s="162" t="s">
        <v>139</v>
      </c>
      <c r="E177" s="163" t="s">
        <v>404</v>
      </c>
      <c r="F177" s="167" t="s">
        <v>405</v>
      </c>
      <c r="G177" s="162" t="s">
        <v>137</v>
      </c>
      <c r="H177" s="162" t="s">
        <v>132</v>
      </c>
      <c r="I177" s="165" t="s">
        <v>406</v>
      </c>
      <c r="J177" s="166">
        <v>45834</v>
      </c>
      <c r="K177" s="166">
        <v>45884</v>
      </c>
      <c r="L177" s="162" t="s">
        <v>141</v>
      </c>
    </row>
    <row r="178" spans="1:12" ht="41.4" x14ac:dyDescent="0.3">
      <c r="A178" s="162" t="s">
        <v>168</v>
      </c>
      <c r="B178" s="162">
        <v>2025</v>
      </c>
      <c r="C178" s="162" t="s">
        <v>694</v>
      </c>
      <c r="D178" s="162" t="s">
        <v>139</v>
      </c>
      <c r="E178" s="163" t="s">
        <v>417</v>
      </c>
      <c r="F178" s="167" t="s">
        <v>418</v>
      </c>
      <c r="G178" s="162" t="s">
        <v>126</v>
      </c>
      <c r="H178" s="162" t="s">
        <v>323</v>
      </c>
      <c r="I178" s="165" t="s">
        <v>267</v>
      </c>
      <c r="J178" s="166">
        <v>45747</v>
      </c>
      <c r="K178" s="166">
        <v>45869</v>
      </c>
      <c r="L178" s="162" t="s">
        <v>141</v>
      </c>
    </row>
    <row r="179" spans="1:12" ht="41.4" x14ac:dyDescent="0.3">
      <c r="A179" s="162" t="s">
        <v>168</v>
      </c>
      <c r="B179" s="162">
        <v>2025</v>
      </c>
      <c r="C179" s="162" t="s">
        <v>695</v>
      </c>
      <c r="D179" s="162" t="s">
        <v>139</v>
      </c>
      <c r="E179" s="163" t="s">
        <v>420</v>
      </c>
      <c r="F179" s="167" t="s">
        <v>418</v>
      </c>
      <c r="G179" s="162" t="s">
        <v>137</v>
      </c>
      <c r="H179" s="162" t="s">
        <v>323</v>
      </c>
      <c r="I179" s="165" t="s">
        <v>267</v>
      </c>
      <c r="J179" s="166">
        <v>45659</v>
      </c>
      <c r="K179" s="166">
        <v>45869</v>
      </c>
      <c r="L179" s="162" t="s">
        <v>141</v>
      </c>
    </row>
    <row r="180" spans="1:12" ht="55.2" x14ac:dyDescent="0.3">
      <c r="A180" s="162" t="s">
        <v>168</v>
      </c>
      <c r="B180" s="162">
        <v>2025</v>
      </c>
      <c r="C180" s="162" t="s">
        <v>696</v>
      </c>
      <c r="D180" s="162" t="s">
        <v>139</v>
      </c>
      <c r="E180" s="163" t="s">
        <v>422</v>
      </c>
      <c r="F180" s="167" t="s">
        <v>418</v>
      </c>
      <c r="G180" s="162" t="s">
        <v>126</v>
      </c>
      <c r="H180" s="162" t="s">
        <v>323</v>
      </c>
      <c r="I180" s="165" t="s">
        <v>267</v>
      </c>
      <c r="J180" s="166">
        <v>45747</v>
      </c>
      <c r="K180" s="166">
        <v>45869</v>
      </c>
      <c r="L180" s="162" t="s">
        <v>141</v>
      </c>
    </row>
    <row r="181" spans="1:12" ht="41.4" x14ac:dyDescent="0.3">
      <c r="A181" s="162" t="s">
        <v>168</v>
      </c>
      <c r="B181" s="162">
        <v>2025</v>
      </c>
      <c r="C181" s="162" t="s">
        <v>697</v>
      </c>
      <c r="D181" s="162" t="s">
        <v>139</v>
      </c>
      <c r="E181" s="163" t="s">
        <v>424</v>
      </c>
      <c r="F181" s="167" t="s">
        <v>418</v>
      </c>
      <c r="G181" s="162" t="s">
        <v>126</v>
      </c>
      <c r="H181" s="162" t="s">
        <v>323</v>
      </c>
      <c r="I181" s="165" t="s">
        <v>267</v>
      </c>
      <c r="J181" s="166">
        <v>45747</v>
      </c>
      <c r="K181" s="166">
        <v>45869</v>
      </c>
      <c r="L181" s="162" t="s">
        <v>141</v>
      </c>
    </row>
    <row r="182" spans="1:12" ht="55.2" x14ac:dyDescent="0.3">
      <c r="A182" s="162" t="s">
        <v>168</v>
      </c>
      <c r="B182" s="162">
        <v>2025</v>
      </c>
      <c r="C182" s="162" t="s">
        <v>698</v>
      </c>
      <c r="D182" s="162" t="s">
        <v>125</v>
      </c>
      <c r="E182" s="163" t="s">
        <v>699</v>
      </c>
      <c r="F182" s="167" t="s">
        <v>700</v>
      </c>
      <c r="G182" s="162" t="s">
        <v>137</v>
      </c>
      <c r="H182" s="162" t="s">
        <v>156</v>
      </c>
      <c r="I182" s="165" t="s">
        <v>267</v>
      </c>
      <c r="J182" s="166">
        <v>45673</v>
      </c>
      <c r="K182" s="166">
        <v>45883</v>
      </c>
      <c r="L182" s="162" t="s">
        <v>128</v>
      </c>
    </row>
    <row r="183" spans="1:12" ht="55.2" x14ac:dyDescent="0.3">
      <c r="A183" s="162" t="s">
        <v>168</v>
      </c>
      <c r="B183" s="162">
        <v>2025</v>
      </c>
      <c r="C183" s="162" t="s">
        <v>701</v>
      </c>
      <c r="D183" s="162" t="s">
        <v>125</v>
      </c>
      <c r="E183" s="163" t="s">
        <v>702</v>
      </c>
      <c r="F183" s="167" t="s">
        <v>430</v>
      </c>
      <c r="G183" s="162" t="s">
        <v>137</v>
      </c>
      <c r="H183" s="162" t="s">
        <v>151</v>
      </c>
      <c r="I183" s="165" t="s">
        <v>437</v>
      </c>
      <c r="J183" s="166">
        <v>45745</v>
      </c>
      <c r="K183" s="166">
        <v>45955</v>
      </c>
      <c r="L183" s="162" t="s">
        <v>128</v>
      </c>
    </row>
    <row r="184" spans="1:12" ht="55.2" x14ac:dyDescent="0.3">
      <c r="A184" s="162" t="s">
        <v>168</v>
      </c>
      <c r="B184" s="162">
        <v>2025</v>
      </c>
      <c r="C184" s="162" t="s">
        <v>703</v>
      </c>
      <c r="D184" s="162" t="s">
        <v>125</v>
      </c>
      <c r="E184" s="163" t="s">
        <v>704</v>
      </c>
      <c r="F184" s="167" t="s">
        <v>134</v>
      </c>
      <c r="G184" s="162" t="s">
        <v>126</v>
      </c>
      <c r="H184" s="162" t="s">
        <v>158</v>
      </c>
      <c r="I184" s="165" t="s">
        <v>427</v>
      </c>
      <c r="J184" s="166">
        <v>45680</v>
      </c>
      <c r="K184" s="166">
        <v>45890</v>
      </c>
      <c r="L184" s="162" t="s">
        <v>128</v>
      </c>
    </row>
    <row r="185" spans="1:12" ht="55.2" x14ac:dyDescent="0.3">
      <c r="A185" s="162" t="s">
        <v>168</v>
      </c>
      <c r="B185" s="162">
        <v>2025</v>
      </c>
      <c r="C185" s="162" t="s">
        <v>705</v>
      </c>
      <c r="D185" s="162" t="s">
        <v>125</v>
      </c>
      <c r="E185" s="163" t="s">
        <v>706</v>
      </c>
      <c r="F185" s="167" t="s">
        <v>149</v>
      </c>
      <c r="G185" s="162" t="s">
        <v>126</v>
      </c>
      <c r="H185" s="162" t="s">
        <v>151</v>
      </c>
      <c r="I185" s="165" t="s">
        <v>427</v>
      </c>
      <c r="J185" s="166">
        <v>45765</v>
      </c>
      <c r="K185" s="166">
        <v>45979</v>
      </c>
      <c r="L185" s="162" t="s">
        <v>128</v>
      </c>
    </row>
    <row r="186" spans="1:12" ht="69" x14ac:dyDescent="0.3">
      <c r="A186" s="162" t="s">
        <v>168</v>
      </c>
      <c r="B186" s="162">
        <v>2025</v>
      </c>
      <c r="C186" s="162" t="s">
        <v>707</v>
      </c>
      <c r="D186" s="162" t="s">
        <v>125</v>
      </c>
      <c r="E186" s="163" t="s">
        <v>708</v>
      </c>
      <c r="F186" s="167" t="s">
        <v>134</v>
      </c>
      <c r="G186" s="162" t="s">
        <v>126</v>
      </c>
      <c r="H186" s="162" t="s">
        <v>156</v>
      </c>
      <c r="I186" s="165" t="s">
        <v>427</v>
      </c>
      <c r="J186" s="166">
        <v>45659</v>
      </c>
      <c r="K186" s="166">
        <v>45869</v>
      </c>
      <c r="L186" s="162" t="s">
        <v>294</v>
      </c>
    </row>
    <row r="187" spans="1:12" ht="55.2" x14ac:dyDescent="0.3">
      <c r="A187" s="162" t="s">
        <v>172</v>
      </c>
      <c r="B187" s="162">
        <v>2025</v>
      </c>
      <c r="C187" s="162" t="s">
        <v>709</v>
      </c>
      <c r="D187" s="162" t="s">
        <v>125</v>
      </c>
      <c r="E187" s="163" t="s">
        <v>710</v>
      </c>
      <c r="F187" s="167" t="s">
        <v>161</v>
      </c>
      <c r="G187" s="162" t="s">
        <v>126</v>
      </c>
      <c r="H187" s="162" t="s">
        <v>151</v>
      </c>
      <c r="I187" s="165" t="s">
        <v>867</v>
      </c>
      <c r="J187" s="166">
        <v>45659</v>
      </c>
      <c r="K187" s="166">
        <v>45869</v>
      </c>
      <c r="L187" s="162" t="s">
        <v>128</v>
      </c>
    </row>
    <row r="188" spans="1:12" ht="69" x14ac:dyDescent="0.3">
      <c r="A188" s="162" t="s">
        <v>172</v>
      </c>
      <c r="B188" s="162">
        <v>2025</v>
      </c>
      <c r="C188" s="162" t="s">
        <v>711</v>
      </c>
      <c r="D188" s="162" t="s">
        <v>125</v>
      </c>
      <c r="E188" s="163" t="s">
        <v>712</v>
      </c>
      <c r="F188" s="167" t="s">
        <v>173</v>
      </c>
      <c r="G188" s="162" t="s">
        <v>137</v>
      </c>
      <c r="H188" s="162" t="s">
        <v>132</v>
      </c>
      <c r="I188" s="165" t="s">
        <v>869</v>
      </c>
      <c r="J188" s="166">
        <v>45830</v>
      </c>
      <c r="K188" s="166">
        <v>45870</v>
      </c>
      <c r="L188" s="162" t="s">
        <v>141</v>
      </c>
    </row>
    <row r="189" spans="1:12" ht="69" x14ac:dyDescent="0.3">
      <c r="A189" s="162" t="s">
        <v>172</v>
      </c>
      <c r="B189" s="162">
        <v>2025</v>
      </c>
      <c r="C189" s="162" t="s">
        <v>713</v>
      </c>
      <c r="D189" s="162" t="s">
        <v>125</v>
      </c>
      <c r="E189" s="163" t="s">
        <v>714</v>
      </c>
      <c r="F189" s="167" t="s">
        <v>161</v>
      </c>
      <c r="G189" s="162" t="s">
        <v>143</v>
      </c>
      <c r="H189" s="162" t="s">
        <v>136</v>
      </c>
      <c r="I189" s="165" t="s">
        <v>882</v>
      </c>
      <c r="J189" s="166">
        <v>45839</v>
      </c>
      <c r="K189" s="166">
        <v>45899</v>
      </c>
      <c r="L189" s="162" t="s">
        <v>128</v>
      </c>
    </row>
    <row r="190" spans="1:12" ht="110.4" x14ac:dyDescent="0.3">
      <c r="A190" s="162" t="s">
        <v>172</v>
      </c>
      <c r="B190" s="162">
        <v>2025</v>
      </c>
      <c r="C190" s="162" t="s">
        <v>715</v>
      </c>
      <c r="D190" s="162" t="s">
        <v>125</v>
      </c>
      <c r="E190" s="163" t="s">
        <v>716</v>
      </c>
      <c r="F190" s="167" t="s">
        <v>700</v>
      </c>
      <c r="G190" s="162" t="s">
        <v>129</v>
      </c>
      <c r="H190" s="162" t="s">
        <v>169</v>
      </c>
      <c r="I190" s="165" t="s">
        <v>883</v>
      </c>
      <c r="J190" s="166">
        <v>45718</v>
      </c>
      <c r="K190" s="166">
        <v>45778</v>
      </c>
      <c r="L190" s="162" t="s">
        <v>128</v>
      </c>
    </row>
    <row r="191" spans="1:12" ht="69" x14ac:dyDescent="0.3">
      <c r="A191" s="162" t="s">
        <v>172</v>
      </c>
      <c r="B191" s="162">
        <v>2025</v>
      </c>
      <c r="C191" s="162" t="s">
        <v>717</v>
      </c>
      <c r="D191" s="162" t="s">
        <v>125</v>
      </c>
      <c r="E191" s="163" t="s">
        <v>718</v>
      </c>
      <c r="F191" s="167" t="s">
        <v>262</v>
      </c>
      <c r="G191" s="162" t="s">
        <v>137</v>
      </c>
      <c r="H191" s="162" t="s">
        <v>132</v>
      </c>
      <c r="I191" s="165" t="s">
        <v>882</v>
      </c>
      <c r="J191" s="166">
        <v>45712</v>
      </c>
      <c r="K191" s="166">
        <v>45752</v>
      </c>
      <c r="L191" s="162" t="s">
        <v>128</v>
      </c>
    </row>
    <row r="192" spans="1:12" ht="55.2" x14ac:dyDescent="0.3">
      <c r="A192" s="162" t="s">
        <v>172</v>
      </c>
      <c r="B192" s="162">
        <v>2025</v>
      </c>
      <c r="C192" s="162" t="s">
        <v>719</v>
      </c>
      <c r="D192" s="162" t="s">
        <v>125</v>
      </c>
      <c r="E192" s="163" t="s">
        <v>720</v>
      </c>
      <c r="F192" s="167" t="s">
        <v>161</v>
      </c>
      <c r="G192" s="162" t="s">
        <v>143</v>
      </c>
      <c r="H192" s="162" t="s">
        <v>169</v>
      </c>
      <c r="I192" s="165" t="s">
        <v>884</v>
      </c>
      <c r="J192" s="166">
        <v>45839</v>
      </c>
      <c r="K192" s="166">
        <v>45899</v>
      </c>
      <c r="L192" s="162" t="s">
        <v>128</v>
      </c>
    </row>
    <row r="193" spans="1:12" ht="69" x14ac:dyDescent="0.3">
      <c r="A193" s="162" t="s">
        <v>172</v>
      </c>
      <c r="B193" s="162">
        <v>2025</v>
      </c>
      <c r="C193" s="162" t="s">
        <v>721</v>
      </c>
      <c r="D193" s="162" t="s">
        <v>125</v>
      </c>
      <c r="E193" s="163" t="s">
        <v>722</v>
      </c>
      <c r="F193" s="167" t="s">
        <v>161</v>
      </c>
      <c r="G193" s="162" t="s">
        <v>137</v>
      </c>
      <c r="H193" s="162" t="s">
        <v>144</v>
      </c>
      <c r="I193" s="165" t="s">
        <v>884</v>
      </c>
      <c r="J193" s="166">
        <v>45394</v>
      </c>
      <c r="K193" s="166">
        <v>45604</v>
      </c>
      <c r="L193" s="162" t="s">
        <v>128</v>
      </c>
    </row>
    <row r="194" spans="1:12" ht="69" x14ac:dyDescent="0.3">
      <c r="A194" s="162" t="s">
        <v>172</v>
      </c>
      <c r="B194" s="162">
        <v>2025</v>
      </c>
      <c r="C194" s="162" t="s">
        <v>723</v>
      </c>
      <c r="D194" s="162" t="s">
        <v>125</v>
      </c>
      <c r="E194" s="163" t="s">
        <v>724</v>
      </c>
      <c r="F194" s="167" t="s">
        <v>173</v>
      </c>
      <c r="G194" s="162" t="s">
        <v>137</v>
      </c>
      <c r="H194" s="162" t="s">
        <v>127</v>
      </c>
      <c r="I194" s="165" t="s">
        <v>868</v>
      </c>
      <c r="J194" s="166">
        <v>45839</v>
      </c>
      <c r="K194" s="166">
        <v>45899</v>
      </c>
      <c r="L194" s="162" t="s">
        <v>128</v>
      </c>
    </row>
    <row r="195" spans="1:12" ht="69" x14ac:dyDescent="0.3">
      <c r="A195" s="162" t="s">
        <v>172</v>
      </c>
      <c r="B195" s="162">
        <v>2025</v>
      </c>
      <c r="C195" s="162" t="s">
        <v>725</v>
      </c>
      <c r="D195" s="162" t="s">
        <v>125</v>
      </c>
      <c r="E195" s="163" t="s">
        <v>726</v>
      </c>
      <c r="F195" s="167" t="s">
        <v>501</v>
      </c>
      <c r="G195" s="162" t="s">
        <v>150</v>
      </c>
      <c r="H195" s="162" t="s">
        <v>151</v>
      </c>
      <c r="I195" s="165" t="s">
        <v>884</v>
      </c>
      <c r="J195" s="166">
        <v>45364</v>
      </c>
      <c r="K195" s="166">
        <v>45574</v>
      </c>
      <c r="L195" s="162" t="s">
        <v>128</v>
      </c>
    </row>
    <row r="196" spans="1:12" ht="55.2" x14ac:dyDescent="0.3">
      <c r="A196" s="162" t="s">
        <v>172</v>
      </c>
      <c r="B196" s="162">
        <v>2025</v>
      </c>
      <c r="C196" s="162" t="s">
        <v>727</v>
      </c>
      <c r="D196" s="162" t="s">
        <v>125</v>
      </c>
      <c r="E196" s="163" t="s">
        <v>728</v>
      </c>
      <c r="F196" s="167" t="s">
        <v>173</v>
      </c>
      <c r="G196" s="162" t="s">
        <v>137</v>
      </c>
      <c r="H196" s="162" t="s">
        <v>169</v>
      </c>
      <c r="I196" s="165" t="s">
        <v>873</v>
      </c>
      <c r="J196" s="166">
        <v>45716</v>
      </c>
      <c r="K196" s="166">
        <v>45776</v>
      </c>
      <c r="L196" s="162" t="s">
        <v>128</v>
      </c>
    </row>
    <row r="197" spans="1:12" ht="69" x14ac:dyDescent="0.3">
      <c r="A197" s="162" t="s">
        <v>172</v>
      </c>
      <c r="B197" s="162">
        <v>2025</v>
      </c>
      <c r="C197" s="162" t="s">
        <v>729</v>
      </c>
      <c r="D197" s="162" t="s">
        <v>125</v>
      </c>
      <c r="E197" s="163" t="s">
        <v>730</v>
      </c>
      <c r="F197" s="167" t="s">
        <v>731</v>
      </c>
      <c r="G197" s="162" t="s">
        <v>143</v>
      </c>
      <c r="H197" s="162" t="s">
        <v>133</v>
      </c>
      <c r="I197" s="165" t="s">
        <v>885</v>
      </c>
      <c r="J197" s="166">
        <v>45805</v>
      </c>
      <c r="K197" s="166">
        <v>45866</v>
      </c>
      <c r="L197" s="162" t="s">
        <v>128</v>
      </c>
    </row>
    <row r="198" spans="1:12" ht="110.4" x14ac:dyDescent="0.3">
      <c r="A198" s="162" t="s">
        <v>172</v>
      </c>
      <c r="B198" s="162">
        <v>2025</v>
      </c>
      <c r="C198" s="162" t="s">
        <v>732</v>
      </c>
      <c r="D198" s="162" t="s">
        <v>125</v>
      </c>
      <c r="E198" s="163" t="s">
        <v>733</v>
      </c>
      <c r="F198" s="167" t="s">
        <v>734</v>
      </c>
      <c r="G198" s="162" t="s">
        <v>150</v>
      </c>
      <c r="H198" s="162" t="s">
        <v>151</v>
      </c>
      <c r="I198" s="165" t="s">
        <v>886</v>
      </c>
      <c r="J198" s="166">
        <v>45720</v>
      </c>
      <c r="K198" s="166">
        <v>45930</v>
      </c>
      <c r="L198" s="162" t="s">
        <v>128</v>
      </c>
    </row>
    <row r="199" spans="1:12" ht="55.2" x14ac:dyDescent="0.3">
      <c r="A199" s="162" t="s">
        <v>172</v>
      </c>
      <c r="B199" s="162">
        <v>2025</v>
      </c>
      <c r="C199" s="162" t="s">
        <v>735</v>
      </c>
      <c r="D199" s="162" t="s">
        <v>125</v>
      </c>
      <c r="E199" s="163" t="s">
        <v>736</v>
      </c>
      <c r="F199" s="167" t="s">
        <v>173</v>
      </c>
      <c r="G199" s="162" t="s">
        <v>137</v>
      </c>
      <c r="H199" s="162" t="s">
        <v>169</v>
      </c>
      <c r="I199" s="165" t="s">
        <v>875</v>
      </c>
      <c r="J199" s="166">
        <v>45689</v>
      </c>
      <c r="K199" s="166">
        <v>45899</v>
      </c>
      <c r="L199" s="162" t="s">
        <v>128</v>
      </c>
    </row>
    <row r="200" spans="1:12" ht="41.4" x14ac:dyDescent="0.3">
      <c r="A200" s="162" t="s">
        <v>172</v>
      </c>
      <c r="B200" s="162">
        <v>2025</v>
      </c>
      <c r="C200" s="162" t="s">
        <v>737</v>
      </c>
      <c r="D200" s="162" t="s">
        <v>139</v>
      </c>
      <c r="E200" s="163" t="s">
        <v>490</v>
      </c>
      <c r="F200" s="167" t="s">
        <v>491</v>
      </c>
      <c r="G200" s="162" t="s">
        <v>137</v>
      </c>
      <c r="H200" s="162" t="s">
        <v>127</v>
      </c>
      <c r="I200" s="165" t="s">
        <v>875</v>
      </c>
      <c r="J200" s="166">
        <v>45865</v>
      </c>
      <c r="K200" s="166">
        <v>45915</v>
      </c>
      <c r="L200" s="162" t="s">
        <v>141</v>
      </c>
    </row>
    <row r="201" spans="1:12" ht="55.2" x14ac:dyDescent="0.3">
      <c r="A201" s="162" t="s">
        <v>172</v>
      </c>
      <c r="B201" s="162">
        <v>2025</v>
      </c>
      <c r="C201" s="162" t="s">
        <v>738</v>
      </c>
      <c r="D201" s="162" t="s">
        <v>125</v>
      </c>
      <c r="E201" s="163" t="s">
        <v>739</v>
      </c>
      <c r="F201" s="167" t="s">
        <v>161</v>
      </c>
      <c r="G201" s="162" t="s">
        <v>137</v>
      </c>
      <c r="H201" s="162" t="s">
        <v>156</v>
      </c>
      <c r="I201" s="165" t="s">
        <v>887</v>
      </c>
      <c r="J201" s="166">
        <v>45568</v>
      </c>
      <c r="K201" s="166">
        <v>45778</v>
      </c>
      <c r="L201" s="162" t="s">
        <v>128</v>
      </c>
    </row>
    <row r="202" spans="1:12" ht="27.6" x14ac:dyDescent="0.3">
      <c r="A202" s="162" t="s">
        <v>172</v>
      </c>
      <c r="B202" s="162">
        <v>2025</v>
      </c>
      <c r="C202" s="162" t="s">
        <v>740</v>
      </c>
      <c r="D202" s="162" t="s">
        <v>139</v>
      </c>
      <c r="E202" s="163" t="s">
        <v>860</v>
      </c>
      <c r="F202" s="167" t="s">
        <v>741</v>
      </c>
      <c r="G202" s="162" t="s">
        <v>126</v>
      </c>
      <c r="H202" s="162" t="s">
        <v>130</v>
      </c>
      <c r="I202" s="165" t="s">
        <v>876</v>
      </c>
      <c r="J202" s="166">
        <v>45748</v>
      </c>
      <c r="K202" s="166">
        <v>45809</v>
      </c>
      <c r="L202" s="162" t="s">
        <v>141</v>
      </c>
    </row>
    <row r="203" spans="1:12" ht="27.6" x14ac:dyDescent="0.3">
      <c r="A203" s="162" t="s">
        <v>172</v>
      </c>
      <c r="B203" s="162">
        <v>2025</v>
      </c>
      <c r="C203" s="162" t="s">
        <v>742</v>
      </c>
      <c r="D203" s="162" t="s">
        <v>139</v>
      </c>
      <c r="E203" s="163" t="s">
        <v>861</v>
      </c>
      <c r="F203" s="167" t="s">
        <v>493</v>
      </c>
      <c r="G203" s="162" t="s">
        <v>126</v>
      </c>
      <c r="H203" s="162" t="s">
        <v>130</v>
      </c>
      <c r="I203" s="165" t="s">
        <v>876</v>
      </c>
      <c r="J203" s="166">
        <v>45748</v>
      </c>
      <c r="K203" s="166">
        <v>45809</v>
      </c>
      <c r="L203" s="162" t="s">
        <v>141</v>
      </c>
    </row>
    <row r="204" spans="1:12" ht="27.6" x14ac:dyDescent="0.3">
      <c r="A204" s="162" t="s">
        <v>172</v>
      </c>
      <c r="B204" s="162">
        <v>2025</v>
      </c>
      <c r="C204" s="162" t="s">
        <v>743</v>
      </c>
      <c r="D204" s="162" t="s">
        <v>139</v>
      </c>
      <c r="E204" s="163" t="s">
        <v>862</v>
      </c>
      <c r="F204" s="167" t="s">
        <v>493</v>
      </c>
      <c r="G204" s="162" t="s">
        <v>137</v>
      </c>
      <c r="H204" s="162" t="s">
        <v>178</v>
      </c>
      <c r="I204" s="165" t="s">
        <v>876</v>
      </c>
      <c r="J204" s="166">
        <v>45748</v>
      </c>
      <c r="K204" s="166">
        <v>45809</v>
      </c>
      <c r="L204" s="162" t="s">
        <v>141</v>
      </c>
    </row>
    <row r="205" spans="1:12" ht="27.6" x14ac:dyDescent="0.3">
      <c r="A205" s="162" t="s">
        <v>172</v>
      </c>
      <c r="B205" s="162">
        <v>2025</v>
      </c>
      <c r="C205" s="162" t="s">
        <v>744</v>
      </c>
      <c r="D205" s="162" t="s">
        <v>139</v>
      </c>
      <c r="E205" s="163" t="s">
        <v>863</v>
      </c>
      <c r="F205" s="167" t="s">
        <v>493</v>
      </c>
      <c r="G205" s="162" t="s">
        <v>137</v>
      </c>
      <c r="H205" s="162" t="s">
        <v>178</v>
      </c>
      <c r="I205" s="165" t="s">
        <v>876</v>
      </c>
      <c r="J205" s="166">
        <v>45748</v>
      </c>
      <c r="K205" s="166">
        <v>45809</v>
      </c>
      <c r="L205" s="162" t="s">
        <v>141</v>
      </c>
    </row>
    <row r="206" spans="1:12" ht="27.6" x14ac:dyDescent="0.3">
      <c r="A206" s="162" t="s">
        <v>172</v>
      </c>
      <c r="B206" s="162">
        <v>2025</v>
      </c>
      <c r="C206" s="162" t="s">
        <v>745</v>
      </c>
      <c r="D206" s="162" t="s">
        <v>139</v>
      </c>
      <c r="E206" s="163" t="s">
        <v>864</v>
      </c>
      <c r="F206" s="167" t="s">
        <v>493</v>
      </c>
      <c r="G206" s="162" t="s">
        <v>137</v>
      </c>
      <c r="H206" s="162" t="s">
        <v>178</v>
      </c>
      <c r="I206" s="165" t="s">
        <v>876</v>
      </c>
      <c r="J206" s="166">
        <v>45748</v>
      </c>
      <c r="K206" s="166">
        <v>45809</v>
      </c>
      <c r="L206" s="162" t="s">
        <v>141</v>
      </c>
    </row>
    <row r="207" spans="1:12" ht="27.6" x14ac:dyDescent="0.3">
      <c r="A207" s="162" t="s">
        <v>172</v>
      </c>
      <c r="B207" s="162">
        <v>2025</v>
      </c>
      <c r="C207" s="162" t="s">
        <v>746</v>
      </c>
      <c r="D207" s="162" t="s">
        <v>139</v>
      </c>
      <c r="E207" s="163" t="s">
        <v>747</v>
      </c>
      <c r="F207" s="167" t="s">
        <v>161</v>
      </c>
      <c r="G207" s="162" t="s">
        <v>137</v>
      </c>
      <c r="H207" s="162" t="s">
        <v>162</v>
      </c>
      <c r="I207" s="165" t="s">
        <v>877</v>
      </c>
      <c r="J207" s="166">
        <v>45689</v>
      </c>
      <c r="K207" s="166">
        <v>45899</v>
      </c>
      <c r="L207" s="162" t="s">
        <v>128</v>
      </c>
    </row>
    <row r="208" spans="1:12" ht="41.4" x14ac:dyDescent="0.3">
      <c r="A208" s="162" t="s">
        <v>172</v>
      </c>
      <c r="B208" s="162">
        <v>2025</v>
      </c>
      <c r="C208" s="162" t="s">
        <v>748</v>
      </c>
      <c r="D208" s="162" t="s">
        <v>125</v>
      </c>
      <c r="E208" s="163" t="s">
        <v>749</v>
      </c>
      <c r="F208" s="167" t="s">
        <v>750</v>
      </c>
      <c r="G208" s="162" t="s">
        <v>143</v>
      </c>
      <c r="H208" s="162" t="s">
        <v>136</v>
      </c>
      <c r="I208" s="165" t="s">
        <v>888</v>
      </c>
      <c r="J208" s="166">
        <v>45573</v>
      </c>
      <c r="K208" s="166">
        <v>45633</v>
      </c>
      <c r="L208" s="162" t="s">
        <v>128</v>
      </c>
    </row>
    <row r="209" spans="1:12" ht="55.2" x14ac:dyDescent="0.3">
      <c r="A209" s="162" t="s">
        <v>172</v>
      </c>
      <c r="B209" s="162">
        <v>2025</v>
      </c>
      <c r="C209" s="162" t="s">
        <v>751</v>
      </c>
      <c r="D209" s="162" t="s">
        <v>125</v>
      </c>
      <c r="E209" s="163" t="s">
        <v>752</v>
      </c>
      <c r="F209" s="167" t="s">
        <v>430</v>
      </c>
      <c r="G209" s="162" t="s">
        <v>137</v>
      </c>
      <c r="H209" s="162" t="s">
        <v>136</v>
      </c>
      <c r="I209" s="165" t="s">
        <v>159</v>
      </c>
      <c r="J209" s="166">
        <v>45673</v>
      </c>
      <c r="K209" s="166">
        <v>45703</v>
      </c>
      <c r="L209" s="162" t="s">
        <v>128</v>
      </c>
    </row>
    <row r="210" spans="1:12" ht="55.2" x14ac:dyDescent="0.3">
      <c r="A210" s="162" t="s">
        <v>172</v>
      </c>
      <c r="B210" s="162">
        <v>2025</v>
      </c>
      <c r="C210" s="162" t="s">
        <v>753</v>
      </c>
      <c r="D210" s="162" t="s">
        <v>125</v>
      </c>
      <c r="E210" s="163" t="s">
        <v>754</v>
      </c>
      <c r="F210" s="167" t="s">
        <v>161</v>
      </c>
      <c r="G210" s="162" t="s">
        <v>126</v>
      </c>
      <c r="H210" s="162" t="s">
        <v>156</v>
      </c>
      <c r="I210" s="165" t="s">
        <v>889</v>
      </c>
      <c r="J210" s="166">
        <v>45654</v>
      </c>
      <c r="K210" s="166">
        <v>45864</v>
      </c>
      <c r="L210" s="162" t="s">
        <v>128</v>
      </c>
    </row>
    <row r="211" spans="1:12" ht="55.2" x14ac:dyDescent="0.3">
      <c r="A211" s="162" t="s">
        <v>172</v>
      </c>
      <c r="B211" s="162">
        <v>2025</v>
      </c>
      <c r="C211" s="162" t="s">
        <v>755</v>
      </c>
      <c r="D211" s="162" t="s">
        <v>125</v>
      </c>
      <c r="E211" s="163" t="s">
        <v>756</v>
      </c>
      <c r="F211" s="167" t="s">
        <v>504</v>
      </c>
      <c r="G211" s="162" t="s">
        <v>126</v>
      </c>
      <c r="H211" s="162" t="s">
        <v>130</v>
      </c>
      <c r="I211" s="165" t="s">
        <v>880</v>
      </c>
      <c r="J211" s="166">
        <v>45804</v>
      </c>
      <c r="K211" s="166">
        <v>45924</v>
      </c>
      <c r="L211" s="162" t="s">
        <v>128</v>
      </c>
    </row>
    <row r="212" spans="1:12" ht="69" x14ac:dyDescent="0.3">
      <c r="A212" s="162" t="s">
        <v>172</v>
      </c>
      <c r="B212" s="162">
        <v>2025</v>
      </c>
      <c r="C212" s="162" t="s">
        <v>757</v>
      </c>
      <c r="D212" s="162" t="s">
        <v>139</v>
      </c>
      <c r="E212" s="163" t="s">
        <v>865</v>
      </c>
      <c r="F212" s="167" t="s">
        <v>504</v>
      </c>
      <c r="G212" s="162" t="s">
        <v>126</v>
      </c>
      <c r="H212" s="162" t="s">
        <v>127</v>
      </c>
      <c r="I212" s="165" t="s">
        <v>880</v>
      </c>
      <c r="J212" s="166">
        <v>45563</v>
      </c>
      <c r="K212" s="166">
        <v>45627</v>
      </c>
      <c r="L212" s="162" t="s">
        <v>141</v>
      </c>
    </row>
    <row r="213" spans="1:12" ht="110.4" x14ac:dyDescent="0.3">
      <c r="A213" s="162" t="s">
        <v>172</v>
      </c>
      <c r="B213" s="162">
        <v>2025</v>
      </c>
      <c r="C213" s="162" t="s">
        <v>758</v>
      </c>
      <c r="D213" s="162" t="s">
        <v>125</v>
      </c>
      <c r="E213" s="163" t="s">
        <v>866</v>
      </c>
      <c r="F213" s="167" t="s">
        <v>171</v>
      </c>
      <c r="G213" s="162" t="s">
        <v>137</v>
      </c>
      <c r="H213" s="162" t="s">
        <v>178</v>
      </c>
      <c r="I213" s="165" t="s">
        <v>873</v>
      </c>
      <c r="J213" s="166">
        <v>45550</v>
      </c>
      <c r="K213" s="166">
        <v>45590</v>
      </c>
      <c r="L213" s="162" t="s">
        <v>141</v>
      </c>
    </row>
    <row r="214" spans="1:12" ht="27.6" x14ac:dyDescent="0.3">
      <c r="A214" s="162" t="s">
        <v>172</v>
      </c>
      <c r="B214" s="162">
        <v>2025</v>
      </c>
      <c r="C214" s="162" t="s">
        <v>759</v>
      </c>
      <c r="D214" s="162" t="s">
        <v>139</v>
      </c>
      <c r="E214" s="163" t="s">
        <v>760</v>
      </c>
      <c r="F214" s="167" t="s">
        <v>171</v>
      </c>
      <c r="G214" s="162" t="s">
        <v>137</v>
      </c>
      <c r="H214" s="162" t="s">
        <v>323</v>
      </c>
      <c r="I214" s="165" t="s">
        <v>882</v>
      </c>
      <c r="J214" s="166">
        <v>45859</v>
      </c>
      <c r="K214" s="166">
        <v>45899</v>
      </c>
      <c r="L214" s="162" t="s">
        <v>141</v>
      </c>
    </row>
    <row r="215" spans="1:12" ht="27.6" x14ac:dyDescent="0.3">
      <c r="A215" s="162" t="s">
        <v>172</v>
      </c>
      <c r="B215" s="162">
        <v>2025</v>
      </c>
      <c r="C215" s="162" t="s">
        <v>761</v>
      </c>
      <c r="D215" s="162" t="s">
        <v>125</v>
      </c>
      <c r="E215" s="163" t="s">
        <v>519</v>
      </c>
      <c r="F215" s="167" t="s">
        <v>171</v>
      </c>
      <c r="G215" s="162" t="s">
        <v>137</v>
      </c>
      <c r="H215" s="162" t="s">
        <v>178</v>
      </c>
      <c r="I215" s="165" t="s">
        <v>882</v>
      </c>
      <c r="J215" s="166">
        <v>45828</v>
      </c>
      <c r="K215" s="166">
        <v>45870</v>
      </c>
      <c r="L215" s="162" t="s">
        <v>141</v>
      </c>
    </row>
    <row r="216" spans="1:12" ht="69" x14ac:dyDescent="0.3">
      <c r="A216" s="162" t="s">
        <v>172</v>
      </c>
      <c r="B216" s="162">
        <v>2025</v>
      </c>
      <c r="C216" s="162" t="s">
        <v>762</v>
      </c>
      <c r="D216" s="162" t="s">
        <v>125</v>
      </c>
      <c r="E216" s="163" t="s">
        <v>763</v>
      </c>
      <c r="F216" s="167" t="s">
        <v>504</v>
      </c>
      <c r="G216" s="162" t="s">
        <v>137</v>
      </c>
      <c r="H216" s="162" t="s">
        <v>144</v>
      </c>
      <c r="I216" s="165" t="s">
        <v>879</v>
      </c>
      <c r="J216" s="166">
        <v>45870</v>
      </c>
      <c r="K216" s="166">
        <v>45930</v>
      </c>
      <c r="L216" s="162" t="s">
        <v>128</v>
      </c>
    </row>
    <row r="217" spans="1:12" ht="69" x14ac:dyDescent="0.3">
      <c r="A217" s="162" t="s">
        <v>172</v>
      </c>
      <c r="B217" s="162">
        <v>2025</v>
      </c>
      <c r="C217" s="162" t="s">
        <v>764</v>
      </c>
      <c r="D217" s="162" t="s">
        <v>125</v>
      </c>
      <c r="E217" s="163" t="s">
        <v>765</v>
      </c>
      <c r="F217" s="167" t="s">
        <v>504</v>
      </c>
      <c r="G217" s="162" t="s">
        <v>126</v>
      </c>
      <c r="H217" s="162" t="s">
        <v>133</v>
      </c>
      <c r="I217" s="165" t="s">
        <v>890</v>
      </c>
      <c r="J217" s="166">
        <v>45614</v>
      </c>
      <c r="K217" s="166">
        <v>45703</v>
      </c>
      <c r="L217" s="162" t="s">
        <v>128</v>
      </c>
    </row>
    <row r="218" spans="1:12" ht="55.2" x14ac:dyDescent="0.3">
      <c r="A218" s="162" t="s">
        <v>172</v>
      </c>
      <c r="B218" s="162">
        <v>2025</v>
      </c>
      <c r="C218" s="162" t="s">
        <v>766</v>
      </c>
      <c r="D218" s="162" t="s">
        <v>125</v>
      </c>
      <c r="E218" s="163" t="s">
        <v>767</v>
      </c>
      <c r="F218" s="167" t="s">
        <v>504</v>
      </c>
      <c r="G218" s="162" t="s">
        <v>126</v>
      </c>
      <c r="H218" s="162" t="s">
        <v>130</v>
      </c>
      <c r="I218" s="165" t="s">
        <v>880</v>
      </c>
      <c r="J218" s="166">
        <v>45804</v>
      </c>
      <c r="K218" s="166">
        <v>45924</v>
      </c>
      <c r="L218" s="162" t="s">
        <v>141</v>
      </c>
    </row>
    <row r="219" spans="1:12" ht="55.2" x14ac:dyDescent="0.3">
      <c r="A219" s="162" t="s">
        <v>179</v>
      </c>
      <c r="B219" s="162">
        <v>2025</v>
      </c>
      <c r="C219" s="162" t="s">
        <v>768</v>
      </c>
      <c r="D219" s="162" t="s">
        <v>125</v>
      </c>
      <c r="E219" s="163" t="s">
        <v>769</v>
      </c>
      <c r="F219" s="167" t="s">
        <v>770</v>
      </c>
      <c r="G219" s="162" t="s">
        <v>126</v>
      </c>
      <c r="H219" s="162" t="s">
        <v>144</v>
      </c>
      <c r="I219" s="165" t="s">
        <v>771</v>
      </c>
      <c r="J219" s="166">
        <v>45665</v>
      </c>
      <c r="K219" s="166">
        <v>45785</v>
      </c>
      <c r="L219" s="162" t="s">
        <v>128</v>
      </c>
    </row>
    <row r="220" spans="1:12" ht="55.2" x14ac:dyDescent="0.3">
      <c r="A220" s="162" t="s">
        <v>179</v>
      </c>
      <c r="B220" s="162">
        <v>2025</v>
      </c>
      <c r="C220" s="162" t="s">
        <v>772</v>
      </c>
      <c r="D220" s="162" t="s">
        <v>125</v>
      </c>
      <c r="E220" s="163" t="s">
        <v>773</v>
      </c>
      <c r="F220" s="167" t="s">
        <v>774</v>
      </c>
      <c r="G220" s="162" t="s">
        <v>137</v>
      </c>
      <c r="H220" s="162" t="s">
        <v>178</v>
      </c>
      <c r="I220" s="165" t="s">
        <v>775</v>
      </c>
      <c r="J220" s="166">
        <v>45827</v>
      </c>
      <c r="K220" s="166">
        <v>45867</v>
      </c>
      <c r="L220" s="162" t="s">
        <v>128</v>
      </c>
    </row>
    <row r="221" spans="1:12" ht="55.2" x14ac:dyDescent="0.3">
      <c r="A221" s="162" t="s">
        <v>179</v>
      </c>
      <c r="B221" s="162">
        <v>2025</v>
      </c>
      <c r="C221" s="162" t="s">
        <v>776</v>
      </c>
      <c r="D221" s="162" t="s">
        <v>125</v>
      </c>
      <c r="E221" s="163" t="s">
        <v>777</v>
      </c>
      <c r="F221" s="167" t="s">
        <v>829</v>
      </c>
      <c r="G221" s="162" t="s">
        <v>137</v>
      </c>
      <c r="H221" s="162" t="s">
        <v>178</v>
      </c>
      <c r="I221" s="165" t="s">
        <v>778</v>
      </c>
      <c r="J221" s="166">
        <v>45824</v>
      </c>
      <c r="K221" s="166">
        <v>45864</v>
      </c>
      <c r="L221" s="162" t="s">
        <v>128</v>
      </c>
    </row>
    <row r="222" spans="1:12" ht="41.4" x14ac:dyDescent="0.3">
      <c r="A222" s="162" t="s">
        <v>179</v>
      </c>
      <c r="B222" s="162">
        <v>2025</v>
      </c>
      <c r="C222" s="162" t="s">
        <v>779</v>
      </c>
      <c r="D222" s="162" t="s">
        <v>125</v>
      </c>
      <c r="E222" s="163" t="s">
        <v>780</v>
      </c>
      <c r="F222" s="167" t="s">
        <v>135</v>
      </c>
      <c r="G222" s="162" t="s">
        <v>126</v>
      </c>
      <c r="H222" s="162" t="s">
        <v>133</v>
      </c>
      <c r="I222" s="165" t="s">
        <v>582</v>
      </c>
      <c r="J222" s="166">
        <v>45848</v>
      </c>
      <c r="K222" s="166">
        <v>45898</v>
      </c>
      <c r="L222" s="162" t="s">
        <v>141</v>
      </c>
    </row>
    <row r="223" spans="1:12" ht="55.2" x14ac:dyDescent="0.3">
      <c r="A223" s="162" t="s">
        <v>179</v>
      </c>
      <c r="B223" s="162">
        <v>2025</v>
      </c>
      <c r="C223" s="162" t="s">
        <v>781</v>
      </c>
      <c r="D223" s="162" t="s">
        <v>139</v>
      </c>
      <c r="E223" s="163" t="s">
        <v>782</v>
      </c>
      <c r="F223" s="167" t="s">
        <v>170</v>
      </c>
      <c r="G223" s="162" t="s">
        <v>126</v>
      </c>
      <c r="H223" s="162" t="s">
        <v>133</v>
      </c>
      <c r="I223" s="165" t="s">
        <v>585</v>
      </c>
      <c r="J223" s="166">
        <v>45703</v>
      </c>
      <c r="K223" s="166">
        <v>45823</v>
      </c>
      <c r="L223" s="162" t="s">
        <v>164</v>
      </c>
    </row>
    <row r="224" spans="1:12" ht="55.2" x14ac:dyDescent="0.3">
      <c r="A224" s="162" t="s">
        <v>179</v>
      </c>
      <c r="B224" s="162">
        <v>2025</v>
      </c>
      <c r="C224" s="162" t="s">
        <v>783</v>
      </c>
      <c r="D224" s="162" t="s">
        <v>139</v>
      </c>
      <c r="E224" s="163" t="s">
        <v>784</v>
      </c>
      <c r="F224" s="167" t="s">
        <v>170</v>
      </c>
      <c r="G224" s="162" t="s">
        <v>126</v>
      </c>
      <c r="H224" s="162" t="s">
        <v>130</v>
      </c>
      <c r="I224" s="165" t="s">
        <v>539</v>
      </c>
      <c r="J224" s="166">
        <v>45781</v>
      </c>
      <c r="K224" s="166">
        <v>45901</v>
      </c>
      <c r="L224" s="162" t="s">
        <v>164</v>
      </c>
    </row>
    <row r="225" spans="1:12" ht="69" x14ac:dyDescent="0.3">
      <c r="A225" s="162" t="s">
        <v>179</v>
      </c>
      <c r="B225" s="162">
        <v>2025</v>
      </c>
      <c r="C225" s="162" t="s">
        <v>785</v>
      </c>
      <c r="D225" s="162" t="s">
        <v>139</v>
      </c>
      <c r="E225" s="163" t="s">
        <v>786</v>
      </c>
      <c r="F225" s="167" t="s">
        <v>170</v>
      </c>
      <c r="G225" s="162" t="s">
        <v>137</v>
      </c>
      <c r="H225" s="162" t="s">
        <v>136</v>
      </c>
      <c r="I225" s="165" t="s">
        <v>611</v>
      </c>
      <c r="J225" s="166">
        <v>45781</v>
      </c>
      <c r="K225" s="166">
        <v>45901</v>
      </c>
      <c r="L225" s="162" t="s">
        <v>164</v>
      </c>
    </row>
    <row r="226" spans="1:12" ht="82.8" x14ac:dyDescent="0.3">
      <c r="A226" s="162" t="s">
        <v>179</v>
      </c>
      <c r="B226" s="162">
        <v>2025</v>
      </c>
      <c r="C226" s="162" t="s">
        <v>787</v>
      </c>
      <c r="D226" s="162" t="s">
        <v>139</v>
      </c>
      <c r="E226" s="163" t="s">
        <v>788</v>
      </c>
      <c r="F226" s="167" t="s">
        <v>170</v>
      </c>
      <c r="G226" s="162" t="s">
        <v>137</v>
      </c>
      <c r="H226" s="162" t="s">
        <v>169</v>
      </c>
      <c r="I226" s="165" t="s">
        <v>611</v>
      </c>
      <c r="J226" s="166">
        <v>45781</v>
      </c>
      <c r="K226" s="166">
        <v>45901</v>
      </c>
      <c r="L226" s="162" t="s">
        <v>164</v>
      </c>
    </row>
    <row r="227" spans="1:12" ht="41.4" x14ac:dyDescent="0.3">
      <c r="A227" s="162" t="s">
        <v>179</v>
      </c>
      <c r="B227" s="162">
        <v>2025</v>
      </c>
      <c r="C227" s="162" t="s">
        <v>789</v>
      </c>
      <c r="D227" s="162" t="s">
        <v>139</v>
      </c>
      <c r="E227" s="163" t="s">
        <v>790</v>
      </c>
      <c r="F227" s="167" t="s">
        <v>545</v>
      </c>
      <c r="G227" s="162" t="s">
        <v>143</v>
      </c>
      <c r="H227" s="162" t="s">
        <v>130</v>
      </c>
      <c r="I227" s="165" t="s">
        <v>567</v>
      </c>
      <c r="J227" s="166">
        <v>45474</v>
      </c>
      <c r="K227" s="166">
        <v>45534</v>
      </c>
      <c r="L227" s="162" t="s">
        <v>164</v>
      </c>
    </row>
    <row r="228" spans="1:12" ht="55.2" x14ac:dyDescent="0.3">
      <c r="A228" s="162" t="s">
        <v>182</v>
      </c>
      <c r="B228" s="162">
        <v>2025</v>
      </c>
      <c r="C228" s="162" t="s">
        <v>791</v>
      </c>
      <c r="D228" s="162" t="s">
        <v>139</v>
      </c>
      <c r="E228" s="163" t="s">
        <v>792</v>
      </c>
      <c r="F228" s="167" t="s">
        <v>161</v>
      </c>
      <c r="G228" s="162" t="s">
        <v>143</v>
      </c>
      <c r="H228" s="162" t="s">
        <v>133</v>
      </c>
      <c r="I228" s="165" t="s">
        <v>617</v>
      </c>
      <c r="J228" s="166">
        <v>45718</v>
      </c>
      <c r="K228" s="166">
        <v>45778</v>
      </c>
      <c r="L228" s="162" t="s">
        <v>128</v>
      </c>
    </row>
    <row r="229" spans="1:12" ht="41.4" x14ac:dyDescent="0.3">
      <c r="A229" s="162" t="s">
        <v>182</v>
      </c>
      <c r="B229" s="162">
        <v>2025</v>
      </c>
      <c r="C229" s="162" t="s">
        <v>793</v>
      </c>
      <c r="D229" s="162" t="s">
        <v>139</v>
      </c>
      <c r="E229" s="163" t="s">
        <v>623</v>
      </c>
      <c r="F229" s="167" t="s">
        <v>161</v>
      </c>
      <c r="G229" s="162" t="s">
        <v>143</v>
      </c>
      <c r="H229" s="162" t="s">
        <v>136</v>
      </c>
      <c r="I229" s="165" t="s">
        <v>617</v>
      </c>
      <c r="J229" s="166">
        <v>45779</v>
      </c>
      <c r="K229" s="166">
        <v>45839</v>
      </c>
      <c r="L229" s="162" t="s">
        <v>294</v>
      </c>
    </row>
    <row r="230" spans="1:12" ht="82.8" x14ac:dyDescent="0.3">
      <c r="A230" s="162" t="s">
        <v>182</v>
      </c>
      <c r="B230" s="162">
        <v>2025</v>
      </c>
      <c r="C230" s="162" t="s">
        <v>794</v>
      </c>
      <c r="D230" s="162" t="s">
        <v>139</v>
      </c>
      <c r="E230" s="163" t="s">
        <v>795</v>
      </c>
      <c r="F230" s="167" t="s">
        <v>161</v>
      </c>
      <c r="G230" s="162" t="s">
        <v>143</v>
      </c>
      <c r="H230" s="162" t="s">
        <v>133</v>
      </c>
      <c r="I230" s="165" t="s">
        <v>617</v>
      </c>
      <c r="J230" s="166">
        <v>45749</v>
      </c>
      <c r="K230" s="166">
        <v>45809</v>
      </c>
      <c r="L230" s="162" t="s">
        <v>128</v>
      </c>
    </row>
    <row r="231" spans="1:12" ht="82.8" x14ac:dyDescent="0.3">
      <c r="A231" s="162" t="s">
        <v>182</v>
      </c>
      <c r="B231" s="162">
        <v>2025</v>
      </c>
      <c r="C231" s="162" t="s">
        <v>796</v>
      </c>
      <c r="D231" s="162" t="s">
        <v>139</v>
      </c>
      <c r="E231" s="163" t="s">
        <v>797</v>
      </c>
      <c r="F231" s="167" t="s">
        <v>171</v>
      </c>
      <c r="G231" s="162" t="s">
        <v>143</v>
      </c>
      <c r="H231" s="162" t="s">
        <v>144</v>
      </c>
      <c r="I231" s="165" t="s">
        <v>617</v>
      </c>
      <c r="J231" s="166">
        <v>45718</v>
      </c>
      <c r="K231" s="166">
        <v>45778</v>
      </c>
      <c r="L231" s="162" t="s">
        <v>128</v>
      </c>
    </row>
    <row r="232" spans="1:12" ht="96.6" x14ac:dyDescent="0.3">
      <c r="A232" s="162" t="s">
        <v>182</v>
      </c>
      <c r="B232" s="162">
        <v>2025</v>
      </c>
      <c r="C232" s="162" t="s">
        <v>798</v>
      </c>
      <c r="D232" s="162" t="s">
        <v>139</v>
      </c>
      <c r="E232" s="163" t="s">
        <v>799</v>
      </c>
      <c r="F232" s="167" t="s">
        <v>161</v>
      </c>
      <c r="G232" s="162" t="s">
        <v>143</v>
      </c>
      <c r="H232" s="162" t="s">
        <v>133</v>
      </c>
      <c r="I232" s="165" t="s">
        <v>617</v>
      </c>
      <c r="J232" s="166">
        <v>45810</v>
      </c>
      <c r="K232" s="166">
        <v>45870</v>
      </c>
      <c r="L232" s="162" t="s">
        <v>128</v>
      </c>
    </row>
    <row r="233" spans="1:12" ht="69" x14ac:dyDescent="0.3">
      <c r="A233" s="162" t="s">
        <v>182</v>
      </c>
      <c r="B233" s="162">
        <v>2025</v>
      </c>
      <c r="C233" s="162" t="s">
        <v>800</v>
      </c>
      <c r="D233" s="162" t="s">
        <v>139</v>
      </c>
      <c r="E233" s="163" t="s">
        <v>801</v>
      </c>
      <c r="F233" s="167" t="s">
        <v>161</v>
      </c>
      <c r="G233" s="162" t="s">
        <v>143</v>
      </c>
      <c r="H233" s="162" t="s">
        <v>133</v>
      </c>
      <c r="I233" s="165" t="s">
        <v>617</v>
      </c>
      <c r="J233" s="166">
        <v>45810</v>
      </c>
      <c r="K233" s="166">
        <v>45870</v>
      </c>
      <c r="L233" s="162" t="s">
        <v>128</v>
      </c>
    </row>
    <row r="234" spans="1:12" ht="69" x14ac:dyDescent="0.3">
      <c r="A234" s="162" t="s">
        <v>182</v>
      </c>
      <c r="B234" s="162">
        <v>2025</v>
      </c>
      <c r="C234" s="162" t="s">
        <v>802</v>
      </c>
      <c r="D234" s="162" t="s">
        <v>139</v>
      </c>
      <c r="E234" s="163" t="s">
        <v>803</v>
      </c>
      <c r="F234" s="167" t="s">
        <v>161</v>
      </c>
      <c r="G234" s="162" t="s">
        <v>143</v>
      </c>
      <c r="H234" s="162" t="s">
        <v>133</v>
      </c>
      <c r="I234" s="165" t="s">
        <v>617</v>
      </c>
      <c r="J234" s="166">
        <v>45810</v>
      </c>
      <c r="K234" s="166">
        <v>45870</v>
      </c>
      <c r="L234" s="162" t="s">
        <v>128</v>
      </c>
    </row>
    <row r="235" spans="1:12" ht="110.4" x14ac:dyDescent="0.3">
      <c r="A235" s="162" t="s">
        <v>182</v>
      </c>
      <c r="B235" s="162">
        <v>2025</v>
      </c>
      <c r="C235" s="162" t="s">
        <v>804</v>
      </c>
      <c r="D235" s="162" t="s">
        <v>125</v>
      </c>
      <c r="E235" s="163" t="s">
        <v>805</v>
      </c>
      <c r="F235" s="167" t="s">
        <v>161</v>
      </c>
      <c r="G235" s="162" t="s">
        <v>143</v>
      </c>
      <c r="H235" s="162" t="s">
        <v>169</v>
      </c>
      <c r="I235" s="165" t="s">
        <v>617</v>
      </c>
      <c r="J235" s="166">
        <v>45643</v>
      </c>
      <c r="K235" s="166">
        <v>45704</v>
      </c>
      <c r="L235" s="162" t="s">
        <v>128</v>
      </c>
    </row>
    <row r="236" spans="1:12" ht="96.6" x14ac:dyDescent="0.3">
      <c r="A236" s="162" t="s">
        <v>182</v>
      </c>
      <c r="B236" s="162">
        <v>2025</v>
      </c>
      <c r="C236" s="162" t="s">
        <v>806</v>
      </c>
      <c r="D236" s="162" t="s">
        <v>125</v>
      </c>
      <c r="E236" s="163" t="s">
        <v>807</v>
      </c>
      <c r="F236" s="167" t="s">
        <v>161</v>
      </c>
      <c r="G236" s="162" t="s">
        <v>150</v>
      </c>
      <c r="H236" s="162" t="s">
        <v>151</v>
      </c>
      <c r="I236" s="165" t="s">
        <v>183</v>
      </c>
      <c r="J236" s="166">
        <v>45660</v>
      </c>
      <c r="K236" s="166">
        <v>45870</v>
      </c>
      <c r="L236" s="162" t="s">
        <v>128</v>
      </c>
    </row>
    <row r="237" spans="1:12" ht="41.4" x14ac:dyDescent="0.3">
      <c r="A237" s="162" t="s">
        <v>184</v>
      </c>
      <c r="B237" s="162">
        <v>2025</v>
      </c>
      <c r="C237" s="162" t="s">
        <v>808</v>
      </c>
      <c r="D237" s="162" t="s">
        <v>125</v>
      </c>
      <c r="E237" s="163" t="s">
        <v>809</v>
      </c>
      <c r="F237" s="167" t="s">
        <v>173</v>
      </c>
      <c r="G237" s="162" t="s">
        <v>126</v>
      </c>
      <c r="H237" s="162" t="s">
        <v>130</v>
      </c>
      <c r="I237" s="165" t="s">
        <v>185</v>
      </c>
      <c r="J237" s="166">
        <v>45431</v>
      </c>
      <c r="K237" s="166">
        <v>45641</v>
      </c>
      <c r="L237" s="162" t="s">
        <v>128</v>
      </c>
    </row>
    <row r="239" spans="1:12" x14ac:dyDescent="0.3">
      <c r="A239" s="75" t="s">
        <v>186</v>
      </c>
    </row>
  </sheetData>
  <mergeCells count="1">
    <mergeCell ref="A1:L1"/>
  </mergeCells>
  <conditionalFormatting sqref="C100">
    <cfRule type="containsText" dxfId="14" priority="2" operator="containsText" text="UPDATE">
      <formula>NOT(ISERROR(SEARCH("UPDATE",C100)))</formula>
    </cfRule>
  </conditionalFormatting>
  <conditionalFormatting sqref="C101">
    <cfRule type="containsText" dxfId="13" priority="1" operator="containsText" text="UPDATE">
      <formula>NOT(ISERROR(SEARCH("UPDATE",C101)))</formula>
    </cfRule>
  </conditionalFormatting>
  <hyperlinks>
    <hyperlink ref="I3" location="mailto:Virgil.Hightower@hud.gov" display="mailto:Virgil.Hightower@hud.gov" xr:uid="{00000000-0004-0000-0A00-000000000000}"/>
    <hyperlink ref="I61" r:id="rId1" xr:uid="{247FEDD0-7150-4DBC-97DC-6E322742BC84}"/>
    <hyperlink ref="I59" r:id="rId2" xr:uid="{96DD035C-F273-4699-AD2C-F48F58A69724}"/>
    <hyperlink ref="I60" r:id="rId3" xr:uid="{A8B03A4F-7460-4EC2-976D-DC59F8CE4AA8}"/>
    <hyperlink ref="I63" r:id="rId4" xr:uid="{7BC27E44-2383-4B49-8F7C-5E9ADFC88513}"/>
    <hyperlink ref="I71" r:id="rId5" xr:uid="{811AD40D-D31D-4462-A20E-A091AD2F3FDE}"/>
    <hyperlink ref="I72" r:id="rId6" xr:uid="{2E7A0E30-E268-4AB0-810C-104B6F9652FB}"/>
    <hyperlink ref="I27" r:id="rId7" xr:uid="{CCA425EA-D0E8-4B70-94D1-C8BB6B93C048}"/>
    <hyperlink ref="I28" r:id="rId8" xr:uid="{4341C605-864C-417F-8E60-C8E3B25881D8}"/>
    <hyperlink ref="I32" r:id="rId9" xr:uid="{FF97D500-CE78-43C7-8CDD-71225D0A565B}"/>
    <hyperlink ref="I29" r:id="rId10" xr:uid="{3980BA0F-6BC4-4667-A62B-02A29E98AC6C}"/>
    <hyperlink ref="I30" r:id="rId11" xr:uid="{757A4C87-12AB-40C4-A524-FEA337D33E3B}"/>
    <hyperlink ref="I31" r:id="rId12" xr:uid="{95AC0DA7-349C-4585-85FB-9807B4DDCF6B}"/>
    <hyperlink ref="I33" r:id="rId13" xr:uid="{5347B820-A9D7-40B8-AC23-8BADF4C2CD7A}"/>
    <hyperlink ref="I34" r:id="rId14" xr:uid="{EF7F68F4-C85B-420C-8730-5CD4929D3A95}"/>
    <hyperlink ref="I35" r:id="rId15" xr:uid="{72693439-EDDD-40A4-9A2D-D0453199C191}"/>
    <hyperlink ref="I36" r:id="rId16" xr:uid="{40183821-98CA-4166-96D4-7DB391CD6CDC}"/>
    <hyperlink ref="I108" r:id="rId17" xr:uid="{172E8CA1-BAE2-4109-91F6-2AF8FF5F4716}"/>
    <hyperlink ref="I109" r:id="rId18" xr:uid="{517E9470-DDD8-4B2B-BFEC-4D015164D0AF}"/>
    <hyperlink ref="I110" r:id="rId19" xr:uid="{EA75B979-BB27-4AA4-90D0-6B19FA47CD1E}"/>
    <hyperlink ref="I111" r:id="rId20" xr:uid="{E15C03FB-DD94-440B-9623-32CB0B349EDC}"/>
    <hyperlink ref="I112" r:id="rId21" xr:uid="{C9A4D081-E7F0-4F81-BCC2-21D61EFE2D01}"/>
    <hyperlink ref="I113" r:id="rId22" xr:uid="{63ABACFC-01A3-48FC-BBBA-8E560DE1785C}"/>
    <hyperlink ref="I117" r:id="rId23" xr:uid="{F941F233-EC5C-4928-9A5E-03113694719A}"/>
    <hyperlink ref="I119" r:id="rId24" xr:uid="{71A83CA4-4680-4D0A-AEF7-4D7D899AB616}"/>
    <hyperlink ref="I120" r:id="rId25" xr:uid="{2F7484FF-AF91-46FE-BEE7-E691C1965C40}"/>
    <hyperlink ref="I121" r:id="rId26" xr:uid="{92B359B3-D190-400A-8A7F-AC54440D36B3}"/>
    <hyperlink ref="I125" r:id="rId27" xr:uid="{C56619EA-6A18-48E6-A008-B1A3148D02EA}"/>
    <hyperlink ref="I127" r:id="rId28" xr:uid="{CB65FE35-F79C-43BB-9996-0AE300020E85}"/>
    <hyperlink ref="I122" r:id="rId29" xr:uid="{E50ED8A6-F196-430B-877C-93149FCDB1AF}"/>
    <hyperlink ref="I133" r:id="rId30" xr:uid="{062897B3-AF0D-4A9A-8B3B-706822B07D65}"/>
    <hyperlink ref="I134" r:id="rId31" xr:uid="{C3741DAB-CAA6-4605-80FA-981416981E82}"/>
    <hyperlink ref="I139" r:id="rId32" xr:uid="{8702EDA7-F508-4BA3-8F41-97A2B509659D}"/>
    <hyperlink ref="I130" r:id="rId33" xr:uid="{D5D882BB-034C-42B7-BDAE-FE716C0E0CF7}"/>
    <hyperlink ref="I128" r:id="rId34" xr:uid="{A93F875B-E1E4-4BA5-A6B4-AB9C72345667}"/>
    <hyperlink ref="I141" r:id="rId35" xr:uid="{E42EB23A-68BE-4A26-ACA7-F5DFCADBF2DE}"/>
    <hyperlink ref="I143" r:id="rId36" xr:uid="{1B253483-FF20-4316-8860-B467E4429BF7}"/>
    <hyperlink ref="I157" r:id="rId37" xr:uid="{C0AFC653-5A69-454A-A704-AEC2AD99047E}"/>
    <hyperlink ref="I145" r:id="rId38" xr:uid="{88EFDE5C-D59E-4ABF-874A-F2EBCA8F9F5A}"/>
    <hyperlink ref="I4" r:id="rId39" xr:uid="{4E39F2D6-6B02-41E5-A9CB-60F7EF542630}"/>
    <hyperlink ref="I8" r:id="rId40" xr:uid="{D375F985-CBD9-4BEF-99F7-98C907DB2785}"/>
    <hyperlink ref="I10" r:id="rId41" xr:uid="{AE1E5352-8543-4C1F-864B-8245B742EF04}"/>
    <hyperlink ref="I11" r:id="rId42" xr:uid="{B90F432F-4DA2-481D-B8F7-F29F1AA7A81F}"/>
    <hyperlink ref="I15" r:id="rId43" xr:uid="{E46E394D-2F04-40AE-8B0F-583160A2BB04}"/>
    <hyperlink ref="I12" r:id="rId44" xr:uid="{1AC4A6DB-8156-4EBC-8F51-45164F865E69}"/>
    <hyperlink ref="I13" r:id="rId45" xr:uid="{9B38A4E4-D4D6-469C-986D-B4AF11D744C3}"/>
    <hyperlink ref="I16" r:id="rId46" xr:uid="{63721CED-6DEA-4E09-8623-96E06387AB34}"/>
    <hyperlink ref="I17" r:id="rId47" xr:uid="{5ABA44D0-89A3-4D43-85BB-03E00B1652AD}"/>
    <hyperlink ref="I18" r:id="rId48" xr:uid="{4170909C-0C71-4CB2-8038-C3DDEFC71D72}"/>
    <hyperlink ref="I19" r:id="rId49" xr:uid="{A5A1E47D-8B5B-4B8E-BAC3-E05D572D0EDF}"/>
    <hyperlink ref="I20" r:id="rId50" xr:uid="{2622DC3A-430A-4D9E-997E-54FCFDA15F60}"/>
    <hyperlink ref="I26" r:id="rId51" xr:uid="{72525007-846E-4E1F-8835-676AF897083B}"/>
    <hyperlink ref="I21" r:id="rId52" xr:uid="{5D3918A9-0996-4BAC-987A-BB35FA758BE3}"/>
    <hyperlink ref="I22" r:id="rId53" xr:uid="{30C467E1-00A7-4232-AF04-3F6FD0481DD1}"/>
    <hyperlink ref="I23" r:id="rId54" xr:uid="{271980AC-64F6-440F-B206-D34D41B14F23}"/>
    <hyperlink ref="I24" r:id="rId55" xr:uid="{53799A8C-161E-4CBC-B13B-EBEE242E34A3}"/>
    <hyperlink ref="I25" r:id="rId56" xr:uid="{9DAB29E7-EE45-451D-9BA3-0DB11165AB77}"/>
    <hyperlink ref="I37" r:id="rId57" xr:uid="{8DD9023D-6803-481F-A9C1-2AECFB84CF25}"/>
    <hyperlink ref="I38" r:id="rId58" xr:uid="{C8C58699-DC13-4E18-AF4E-0D20BCACB373}"/>
    <hyperlink ref="I39" r:id="rId59" xr:uid="{EAFF5915-A14F-4028-B8B4-33B63DE159A9}"/>
    <hyperlink ref="I42" r:id="rId60" xr:uid="{27B379D5-7C08-40B8-B347-6271D25EFBCF}"/>
    <hyperlink ref="I50" r:id="rId61" xr:uid="{9DD15859-7F3E-43E4-A579-0B2D20D85C80}"/>
    <hyperlink ref="I51" r:id="rId62" xr:uid="{B7620760-72CB-4812-92A8-2AC75B9646EF}"/>
    <hyperlink ref="I52" r:id="rId63" xr:uid="{CBF7A627-2FB9-4C96-96A8-1B4BB9884137}"/>
    <hyperlink ref="I184:I185" r:id="rId64" display="Wendy.Johnson@hud.gov" xr:uid="{9D621069-3BCD-455C-A8FC-FEC060B35454}"/>
    <hyperlink ref="I186" r:id="rId65" xr:uid="{A35D8B18-6DB2-4F26-85DF-7C721CB8C4C2}"/>
    <hyperlink ref="I183" r:id="rId66" xr:uid="{E7F64001-EC91-414E-8CB3-26A71C96E495}"/>
    <hyperlink ref="I168" r:id="rId67" xr:uid="{D9338A62-E931-4981-B3F7-9A652FE539FB}"/>
    <hyperlink ref="I169" r:id="rId68" xr:uid="{504BDB10-D4C4-4435-BDDE-253AD30F738D}"/>
    <hyperlink ref="I170" r:id="rId69" xr:uid="{4F486681-A756-48E1-AC95-D3BB0413FFD3}"/>
    <hyperlink ref="I174" r:id="rId70" xr:uid="{9C3934B1-C637-40FC-BC83-3F8290EC198F}"/>
    <hyperlink ref="I172" r:id="rId71" xr:uid="{FFABA628-1CED-4222-9F23-3082E305F4C8}"/>
    <hyperlink ref="I173" r:id="rId72" xr:uid="{682401CA-7B10-4F0E-B745-A477CDBD3808}"/>
    <hyperlink ref="I175" r:id="rId73" xr:uid="{35A2385B-725F-4E54-8408-9C575C7791DF}"/>
    <hyperlink ref="I171" r:id="rId74" xr:uid="{24C6B269-2AD4-48F4-A0C1-1F96578A6AD0}"/>
    <hyperlink ref="I222" r:id="rId75" xr:uid="{3B3723C0-F238-4AAE-AEC1-F75AD0A48EF6}"/>
    <hyperlink ref="I223" r:id="rId76" xr:uid="{79CE303C-1E9E-4535-813A-41667C358447}"/>
    <hyperlink ref="I224" r:id="rId77" xr:uid="{BDDEEC1D-1227-49FF-B7CF-54364D401877}"/>
    <hyperlink ref="I225" r:id="rId78" xr:uid="{93A65BE2-20D7-4651-8B5E-3D6FB04B4346}"/>
    <hyperlink ref="I226" r:id="rId79" xr:uid="{ECDBE35D-D04F-4860-93E2-56C86D171C0B}"/>
    <hyperlink ref="I219" r:id="rId80" xr:uid="{0B476114-A6AC-435D-9339-746525C07058}"/>
    <hyperlink ref="I220" r:id="rId81" xr:uid="{33BDEB49-05BD-4ECB-96C6-8CA198C252E0}"/>
    <hyperlink ref="I221" r:id="rId82" xr:uid="{B870F439-2FAB-4719-BA97-45280FA0198D}"/>
    <hyperlink ref="I235" r:id="rId83" xr:uid="{336D1278-7F9B-4E9B-8B9B-A9451D3C7AA7}"/>
    <hyperlink ref="I236" r:id="rId84" xr:uid="{8FF3DC31-56C9-4742-9BF3-AD75CF880A62}"/>
    <hyperlink ref="I162" r:id="rId85" xr:uid="{4A3A8377-48B2-45F7-83B4-ACC99503453D}"/>
    <hyperlink ref="I163" r:id="rId86" xr:uid="{E8D34F9A-BAD4-40A9-AE29-5B5A27AA23D8}"/>
    <hyperlink ref="I167" r:id="rId87" xr:uid="{821776C4-C65E-41DC-9C53-A59B14612AD4}"/>
    <hyperlink ref="I164" r:id="rId88" xr:uid="{9B1F891C-1D99-4510-96DC-89AEEA1A5736}"/>
    <hyperlink ref="I165" r:id="rId89" xr:uid="{26BC15C0-2DFF-4AE9-8502-D4BC82B12C13}"/>
    <hyperlink ref="I166" r:id="rId90" xr:uid="{5F3E9384-BCB7-4BA2-B8D0-0DBA2C938527}"/>
    <hyperlink ref="I161" r:id="rId91" xr:uid="{22D3155F-3352-4C99-BD3A-1BE5B1201B75}"/>
    <hyperlink ref="I176" r:id="rId92" xr:uid="{98C6B64A-2EC0-4680-B506-1EE4AB246E2B}"/>
    <hyperlink ref="I177" r:id="rId93" xr:uid="{678B0B1B-7727-46E0-9A58-18FE861BF7F3}"/>
    <hyperlink ref="I237" r:id="rId94" xr:uid="{7B573A83-8D02-4A5F-9502-8DAFD2B0B038}"/>
    <hyperlink ref="I142" r:id="rId95" xr:uid="{2241B0E3-0F59-4855-AD32-E4DAA6B20167}"/>
    <hyperlink ref="I144" r:id="rId96" xr:uid="{8F850F48-3E23-4D7C-A9E1-76C0B341A720}"/>
    <hyperlink ref="I146" r:id="rId97" xr:uid="{53B67A62-5E3E-4CED-84F1-AFF112B92DB9}"/>
    <hyperlink ref="I147" r:id="rId98" xr:uid="{C004D6BE-3A85-4E95-BB1E-11252FEB9FF6}"/>
    <hyperlink ref="I148" r:id="rId99" xr:uid="{55824476-4B6E-460D-A544-DD0FC554BB69}"/>
    <hyperlink ref="I149" r:id="rId100" xr:uid="{E6504611-7587-4364-96BF-3C3D28A04B53}"/>
    <hyperlink ref="I150" r:id="rId101" xr:uid="{A24EC9AC-9A8B-40B9-8F00-97B121091E29}"/>
    <hyperlink ref="I151" r:id="rId102" xr:uid="{F0904841-83B3-4079-AF46-5F054C5C1DC1}"/>
    <hyperlink ref="I152" r:id="rId103" xr:uid="{C7F55554-F307-45AB-AE9F-6419084B92D3}"/>
    <hyperlink ref="I153" r:id="rId104" xr:uid="{104AD1CC-22A9-478F-BB44-B0688B8F28D5}"/>
    <hyperlink ref="I154" r:id="rId105" xr:uid="{24541336-0129-4ABF-9E36-F0CB6491D6DE}"/>
    <hyperlink ref="I155" r:id="rId106" xr:uid="{A46F8B2C-EA95-484C-A43D-10E19D685E54}"/>
    <hyperlink ref="I158" r:id="rId107" xr:uid="{71FAD0F0-F83C-4730-A0A7-68359ACC7AE1}"/>
    <hyperlink ref="I228:I232" r:id="rId108" display="Valerie.Perry@hud.gov" xr:uid="{EAF77A35-86D6-4660-870F-063547E99A68}"/>
    <hyperlink ref="I233" r:id="rId109" xr:uid="{856242B8-68C4-48BA-B60E-64A3CC9FDF3B}"/>
    <hyperlink ref="I234" r:id="rId110" xr:uid="{415BFB0C-3030-412D-9EF8-1E208CD21EAC}"/>
    <hyperlink ref="I43" r:id="rId111" xr:uid="{0F2FF727-9411-4457-AA83-159544D96A75}"/>
    <hyperlink ref="I44" r:id="rId112" xr:uid="{B9D1E701-9CD2-4ED2-B587-880A39698799}"/>
    <hyperlink ref="I45" r:id="rId113" xr:uid="{802DE77A-E940-44EE-8F5F-9822AC0B1D31}"/>
    <hyperlink ref="I49" r:id="rId114" xr:uid="{4F640CA4-006C-416F-8C9D-D96E72605774}"/>
    <hyperlink ref="I74" r:id="rId115" xr:uid="{6D65CD76-0CD8-42E0-B5D6-A1B4ED7FA37E}"/>
    <hyperlink ref="I75" r:id="rId116" xr:uid="{81C148D6-759C-4D17-B32F-195DBC6F923B}"/>
    <hyperlink ref="I76" r:id="rId117" xr:uid="{EAA5BBB1-ECCC-4185-A10E-95C9F43CA7FB}"/>
    <hyperlink ref="I81" r:id="rId118" xr:uid="{C82606FD-A0A8-4A7D-B0F3-014A59EA2D38}"/>
    <hyperlink ref="I78" r:id="rId119" xr:uid="{7E1523EE-D2BA-47DC-8BDB-A4AC8A9AFA6E}"/>
    <hyperlink ref="I79" r:id="rId120" xr:uid="{2062A6A4-D164-48E1-90FD-B51CDC017BD8}"/>
    <hyperlink ref="I80" r:id="rId121" xr:uid="{5A70F158-4B88-4E42-BFD9-465F76F0632B}"/>
    <hyperlink ref="I82" r:id="rId122" xr:uid="{B543993B-3783-4688-807E-5536E6A81751}"/>
    <hyperlink ref="I83" r:id="rId123" xr:uid="{5817EBEC-8EE4-48DC-8ABB-6BEEE27FD6B3}"/>
    <hyperlink ref="I85" r:id="rId124" xr:uid="{0FB7E2F9-998A-450A-AD9A-53A07866A857}"/>
    <hyperlink ref="I95" r:id="rId125" xr:uid="{BA2EF25F-5127-4568-AB5E-D7A853DC9DDB}"/>
    <hyperlink ref="I84" r:id="rId126" xr:uid="{41F6D29C-842F-498F-90C9-9F2D5AC5CF64}"/>
    <hyperlink ref="I86" r:id="rId127" xr:uid="{082A411B-D6AA-436D-ACAF-1DFEEAACC9AC}"/>
    <hyperlink ref="I87" r:id="rId128" xr:uid="{A749DC98-BE11-4567-A169-53C0B3BF533D}"/>
    <hyperlink ref="I88" r:id="rId129" xr:uid="{CA859B29-68EF-4AEB-B008-CEC385B2E579}"/>
    <hyperlink ref="I89" r:id="rId130" xr:uid="{48015BE0-06D7-4724-BC52-DD70F62F7C3D}"/>
    <hyperlink ref="I90" r:id="rId131" xr:uid="{AF16E927-7837-4A32-A619-0C217DCF499A}"/>
    <hyperlink ref="I91" r:id="rId132" xr:uid="{4AED3BF0-090A-4052-B5FF-D4AEC6FF47BD}"/>
    <hyperlink ref="I92" r:id="rId133" xr:uid="{CDE19925-604F-4280-B4F1-0AB695755A7C}"/>
    <hyperlink ref="I93" r:id="rId134" xr:uid="{2E46EA19-F17F-4BCF-964A-31534753491C}"/>
    <hyperlink ref="I97" r:id="rId135" xr:uid="{97E2442E-1D4C-494D-BEC7-B677F7B0866A}"/>
    <hyperlink ref="I105" r:id="rId136" xr:uid="{90ECE4FC-CE18-452B-A662-1833D7104184}"/>
    <hyperlink ref="I94" r:id="rId137" xr:uid="{461E1825-F6FE-417C-B278-DBF582657ACA}"/>
    <hyperlink ref="I96" r:id="rId138" xr:uid="{F9743455-5BDA-4D5E-BF3E-FD523F800772}"/>
    <hyperlink ref="I98" r:id="rId139" xr:uid="{A4BD14BF-93B0-4A8B-BB2B-999693A6D71E}"/>
    <hyperlink ref="I99" r:id="rId140" xr:uid="{9D83E00E-57C1-46F7-81A7-07A8E063CEEA}"/>
    <hyperlink ref="I106" r:id="rId141" xr:uid="{EFDC23BA-34E2-4D9A-BB78-44A8486F9FA5}"/>
    <hyperlink ref="I100" r:id="rId142" xr:uid="{38F7AFFE-1EC2-4403-9346-4CDD02B7BF01}"/>
    <hyperlink ref="I101" r:id="rId143" xr:uid="{7A58CB52-4A54-487A-9990-DE9B66A911DD}"/>
    <hyperlink ref="I102" r:id="rId144" xr:uid="{151BF3C3-C229-44F1-92E5-20F9C4709FC7}"/>
    <hyperlink ref="I107" r:id="rId145" xr:uid="{921BE1CC-62E2-403F-BCF0-7E116CB4FE5F}"/>
    <hyperlink ref="I103" r:id="rId146" xr:uid="{30EF36BD-3FF4-486A-8651-943B1B55A49C}"/>
    <hyperlink ref="I104" r:id="rId147" xr:uid="{6E8456D7-03EA-4877-ACD1-4BE34BC2E3E5}"/>
    <hyperlink ref="I194" r:id="rId148" xr:uid="{A72E8936-B301-485D-9D3F-8725DEDB50E4}"/>
    <hyperlink ref="I216" r:id="rId149" xr:uid="{314F7A1B-7680-4FC8-843C-187652805DDA}"/>
    <hyperlink ref="I199" r:id="rId150" xr:uid="{B7A7874D-FFCB-4BF1-AFC2-544428545549}"/>
    <hyperlink ref="I200" r:id="rId151" xr:uid="{C92125B7-7770-4153-B415-864F4D3CD653}"/>
    <hyperlink ref="I196" r:id="rId152" xr:uid="{1B154DDF-8463-469C-A1D0-EC4458CA1697}"/>
    <hyperlink ref="I213" r:id="rId153" xr:uid="{6FC423B9-7949-4BB7-A5F4-7475EE6A0D01}"/>
    <hyperlink ref="I211" r:id="rId154" xr:uid="{DDC51E4D-6795-4D07-941A-C22EA6517997}"/>
    <hyperlink ref="I212" r:id="rId155" xr:uid="{543AAE7B-5F83-4D04-AD78-497CB3E0EDDF}"/>
    <hyperlink ref="I218" r:id="rId156" xr:uid="{0C4BC143-70F3-4297-8791-EDE8AD56E92C}"/>
    <hyperlink ref="I189" r:id="rId157" xr:uid="{A4F14024-751A-4F02-9CB5-3302C1428786}"/>
    <hyperlink ref="I191" r:id="rId158" xr:uid="{4A121D82-16F8-45F5-9B7A-FFB0A726EF94}"/>
    <hyperlink ref="I214" r:id="rId159" xr:uid="{4738D36B-797A-4CE1-BF75-3F7349A5BAD8}"/>
    <hyperlink ref="I215" r:id="rId160" xr:uid="{73049266-1281-4C7D-A49B-754590D618B0}"/>
    <hyperlink ref="I207" r:id="rId161" xr:uid="{EF7A2F04-DEF5-42CC-B256-DF06876134A1}"/>
    <hyperlink ref="I202" r:id="rId162" xr:uid="{A8E9ABD5-0C12-404B-B0A8-D1FB262DE303}"/>
    <hyperlink ref="I203" r:id="rId163" xr:uid="{DA1B43A0-E4E1-4232-9D0C-D842C7186C1C}"/>
    <hyperlink ref="I204" r:id="rId164" xr:uid="{28053DF0-3F6C-4495-9F57-98D7296F6D6B}"/>
    <hyperlink ref="I205" r:id="rId165" xr:uid="{60770FE9-3586-48B8-8609-77370601EC9E}"/>
    <hyperlink ref="I206" r:id="rId166" xr:uid="{EF6F262B-F85F-4227-9C41-264EBD287D00}"/>
    <hyperlink ref="I187" r:id="rId167" xr:uid="{97152060-2EDE-41E5-83E7-F81C7B4E64C1}"/>
    <hyperlink ref="I190" r:id="rId168" xr:uid="{5FEEDF96-5AFE-4D71-9016-357C437963E2}"/>
    <hyperlink ref="I192" r:id="rId169" xr:uid="{C983221B-18DD-4959-A40C-DCE07234BE95}"/>
    <hyperlink ref="I193" r:id="rId170" xr:uid="{3128FC53-E0F7-4506-B8E0-A6CFB3DDD5B2}"/>
    <hyperlink ref="I195" r:id="rId171" xr:uid="{F159C389-B9BE-4625-8CB2-7BD432818C52}"/>
    <hyperlink ref="I197" r:id="rId172" xr:uid="{83D2B2EB-8140-422A-A4FC-B2F77EBB8E5C}"/>
    <hyperlink ref="I198" r:id="rId173" xr:uid="{6DD707A0-0994-4FB2-97A3-BDBA1DB3E8AC}"/>
    <hyperlink ref="I201" r:id="rId174" xr:uid="{A79CC969-CB85-44BF-9394-D0BFEE195A6E}"/>
    <hyperlink ref="I208" r:id="rId175" xr:uid="{DB5676A6-5E26-49DA-9BBE-72F85D66344C}"/>
    <hyperlink ref="I209" r:id="rId176" xr:uid="{B9F8611B-082C-4B0C-8147-302EF3A7BE33}"/>
    <hyperlink ref="I210" r:id="rId177" xr:uid="{19C10285-8809-4AF4-AE96-C4840FAA1D7E}"/>
    <hyperlink ref="I217" r:id="rId178" xr:uid="{691D20CD-0E37-45D7-82E9-405C61C7B779}"/>
    <hyperlink ref="I40" r:id="rId179" xr:uid="{4AB2180B-19F4-4D88-904A-CC8CABF2307B}"/>
    <hyperlink ref="I41" r:id="rId180" xr:uid="{8DA2D1E6-276E-4282-B010-81ABCEC0EBAA}"/>
    <hyperlink ref="I47" r:id="rId181" xr:uid="{2DF5966C-9DE1-4C63-BBC9-6945AC632966}"/>
  </hyperlinks>
  <pageMargins left="0.25" right="0.25" top="0.25" bottom="0.3" header="0.15" footer="0.15"/>
  <pageSetup scale="61" fitToHeight="0" orientation="landscape" r:id="rId182"/>
  <headerFooter>
    <oddFooter>&amp;C9/25/23 - Version 1&amp;R&amp;P</oddFooter>
    <evenFooter>&amp;Cvi</evenFooter>
  </headerFooter>
  <colBreaks count="1" manualBreakCount="1">
    <brk id="12" max="1048575" man="1"/>
  </colBreaks>
  <tableParts count="1">
    <tablePart r:id="rId18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R31"/>
  <sheetViews>
    <sheetView workbookViewId="0">
      <selection sqref="A1:R1"/>
    </sheetView>
  </sheetViews>
  <sheetFormatPr defaultRowHeight="14.4" x14ac:dyDescent="0.3"/>
  <cols>
    <col min="1" max="1" width="37.44140625" style="42" customWidth="1"/>
    <col min="7" max="7" width="9.33203125" customWidth="1"/>
    <col min="8" max="10" width="10.33203125" customWidth="1"/>
    <col min="15" max="15" width="9.33203125" customWidth="1"/>
    <col min="16" max="16" width="10.33203125" customWidth="1"/>
    <col min="17" max="17" width="14.6640625" customWidth="1"/>
  </cols>
  <sheetData>
    <row r="1" spans="1:18" ht="21" thickBot="1" x14ac:dyDescent="0.4">
      <c r="A1" s="140" t="s">
        <v>187</v>
      </c>
      <c r="B1" s="141"/>
      <c r="C1" s="141"/>
      <c r="D1" s="141"/>
      <c r="E1" s="141"/>
      <c r="F1" s="141"/>
      <c r="G1" s="141"/>
      <c r="H1" s="141"/>
      <c r="I1" s="141"/>
      <c r="J1" s="141"/>
      <c r="K1" s="141"/>
      <c r="L1" s="141"/>
      <c r="M1" s="141"/>
      <c r="N1" s="141"/>
      <c r="O1" s="141"/>
      <c r="P1" s="141"/>
      <c r="Q1" s="141"/>
      <c r="R1" s="142"/>
    </row>
    <row r="2" spans="1:18" x14ac:dyDescent="0.3">
      <c r="A2" s="43" t="s">
        <v>188</v>
      </c>
      <c r="B2" s="44" t="s">
        <v>189</v>
      </c>
      <c r="C2" s="44" t="s">
        <v>190</v>
      </c>
      <c r="D2" s="44" t="s">
        <v>191</v>
      </c>
      <c r="E2" s="44" t="s">
        <v>192</v>
      </c>
      <c r="F2" s="44" t="s">
        <v>193</v>
      </c>
      <c r="G2" s="44" t="s">
        <v>194</v>
      </c>
      <c r="H2" s="44" t="s">
        <v>195</v>
      </c>
      <c r="I2" s="44" t="s">
        <v>196</v>
      </c>
      <c r="J2" s="44" t="s">
        <v>197</v>
      </c>
      <c r="K2" s="44" t="s">
        <v>198</v>
      </c>
      <c r="L2" s="44" t="s">
        <v>199</v>
      </c>
      <c r="M2" s="45" t="s">
        <v>200</v>
      </c>
      <c r="N2" s="45" t="s">
        <v>201</v>
      </c>
      <c r="O2" s="44" t="s">
        <v>202</v>
      </c>
      <c r="P2" s="44" t="s">
        <v>203</v>
      </c>
      <c r="Q2" s="44" t="s">
        <v>204</v>
      </c>
      <c r="R2" s="46" t="s">
        <v>205</v>
      </c>
    </row>
    <row r="3" spans="1:18" x14ac:dyDescent="0.3">
      <c r="A3" s="59" t="s">
        <v>206</v>
      </c>
      <c r="B3" s="60">
        <f>COUNTIFS('PRODUCTS AND SERVICES'!$A$4:$A$238,"Administration",'PRODUCTS AND SERVICES'!$H$4:$H$238,"$0 to $5,000")</f>
        <v>0</v>
      </c>
      <c r="C3" s="60">
        <f>COUNTIFS('PRODUCTS AND SERVICES'!$A$4:$A$238,"Administration",'PRODUCTS AND SERVICES'!$H$4:$H$238,"$5,000 to $10,000")</f>
        <v>0</v>
      </c>
      <c r="D3" s="60">
        <f>COUNTIFS('PRODUCTS AND SERVICES'!$A$4:$A$238,"Administration",'PRODUCTS AND SERVICES'!$H$4:$H$238,"$10,000 to $25,000")</f>
        <v>0</v>
      </c>
      <c r="E3" s="60">
        <f>COUNTIFS('PRODUCTS AND SERVICES'!$A$4:$A$238,"Administration",'PRODUCTS AND SERVICES'!$H$4:$H$238,"$25,000 to $50,000")</f>
        <v>0</v>
      </c>
      <c r="F3" s="60">
        <f>COUNTIFS('PRODUCTS AND SERVICES'!$A$4:$A$238,"Administration",'PRODUCTS AND SERVICES'!$H$4:$H$238,"$50,000 to $75,000")</f>
        <v>3</v>
      </c>
      <c r="G3" s="60">
        <f>COUNTIFS('PRODUCTS AND SERVICES'!$A$4:$A$238,"Administration",'PRODUCTS AND SERVICES'!$H$4:$H$238,"$75,000 to $100,000")</f>
        <v>0</v>
      </c>
      <c r="H3" s="60">
        <f>COUNTIFS('PRODUCTS AND SERVICES'!$A$4:$A$238,"Administration",'PRODUCTS AND SERVICES'!$H$4:$H$238,"$100,000 to $200,000")</f>
        <v>3</v>
      </c>
      <c r="I3" s="60">
        <f>COUNTIFS('PRODUCTS AND SERVICES'!$A$4:$A$238,"Administration",'PRODUCTS AND SERVICES'!$H$4:$H$238,"$200,000 to $500,000")</f>
        <v>2</v>
      </c>
      <c r="J3" s="60">
        <f>COUNTIFS('PRODUCTS AND SERVICES'!$A$4:$A$238,"Administration",'PRODUCTS AND SERVICES'!$H$4:$H$238,"$500,000 to $1 million")</f>
        <v>1</v>
      </c>
      <c r="K3" s="60">
        <f>COUNTIFS('PRODUCTS AND SERVICES'!$A$4:$A$238,"Administration",'PRODUCTS AND SERVICES'!$H$4:$H$238,"$1 million to $2 million")</f>
        <v>2</v>
      </c>
      <c r="L3" s="60">
        <f>COUNTIFS('PRODUCTS AND SERVICES'!$A$4:$A$238,"Administration",'PRODUCTS AND SERVICES'!$H$4:$H$238,"$2 million to $3 million")</f>
        <v>1</v>
      </c>
      <c r="M3" s="60">
        <f>COUNTIFS('PRODUCTS AND SERVICES'!$A$4:$A$238,"Administration",'PRODUCTS AND SERVICES'!$H$4:$H$238,"$3 million to $5 million")</f>
        <v>0</v>
      </c>
      <c r="N3" s="60">
        <f>COUNTIFS('PRODUCTS AND SERVICES'!$A$4:$A$238,"Administration",'PRODUCTS AND SERVICES'!$H$4:$H$238,"$5 million to $10 million")</f>
        <v>1</v>
      </c>
      <c r="O3" s="60">
        <f>COUNTIFS('PRODUCTS AND SERVICES'!$A$4:$A$238,"Administration",'PRODUCTS AND SERVICES'!$H$4:$H$238,"$10 million to $50 million")</f>
        <v>3</v>
      </c>
      <c r="P3" s="60">
        <f>COUNTIFS('PRODUCTS AND SERVICES'!$A$4:$A$238,"Administration",'PRODUCTS AND SERVICES'!$H$4:$H$238,"$50 million to $150 million")</f>
        <v>0</v>
      </c>
      <c r="Q3" s="60">
        <f>COUNTIFS('PRODUCTS AND SERVICES'!$A$4:$A$238,"Administration",'PRODUCTS AND SERVICES'!$H$4:$H$238,"$150 million or more")</f>
        <v>0</v>
      </c>
      <c r="R3" s="46">
        <f t="shared" ref="R3:R19" si="0">SUM(B3:Q3)</f>
        <v>16</v>
      </c>
    </row>
    <row r="4" spans="1:18" x14ac:dyDescent="0.3">
      <c r="A4" s="59" t="s">
        <v>207</v>
      </c>
      <c r="B4" s="60">
        <f>COUNTIFS('PRODUCTS AND SERVICES'!$A$4:$A$238,"Chief Financial Officer",'PRODUCTS AND SERVICES'!$H$4:$H$238,"$0 to $5,000")</f>
        <v>0</v>
      </c>
      <c r="C4" s="60">
        <f>COUNTIFS('PRODUCTS AND SERVICES'!$A$4:$A$238,"Chief Financial Officer",'PRODUCTS AND SERVICES'!$H$4:$H$238,"$5,000 to $10,000")</f>
        <v>0</v>
      </c>
      <c r="D4" s="60">
        <f>COUNTIFS('PRODUCTS AND SERVICES'!$A$4:$A$238,"Chief Financial Officer",'PRODUCTS AND SERVICES'!$H$4:$H$238,"$10,000 to $25,000")</f>
        <v>0</v>
      </c>
      <c r="E4" s="60">
        <f>COUNTIFS('PRODUCTS AND SERVICES'!$A$4:$A$238,"Chief Financial Officer",'PRODUCTS AND SERVICES'!$H$4:$H$238,"$25,000 to $50,000")</f>
        <v>0</v>
      </c>
      <c r="F4" s="60">
        <f>COUNTIFS('PRODUCTS AND SERVICES'!$A$4:$A$238,"Chief Financial Officer",'PRODUCTS AND SERVICES'!$H$4:$H$238,"$50,000 to $75,000")</f>
        <v>0</v>
      </c>
      <c r="G4" s="60">
        <f>COUNTIFS('PRODUCTS AND SERVICES'!$A$4:$A$238,"Chief Financial Officer",'PRODUCTS AND SERVICES'!$H$4:$H$238,"$75,000 to $100,000")</f>
        <v>0</v>
      </c>
      <c r="H4" s="60">
        <f>COUNTIFS('PRODUCTS AND SERVICES'!$A$4:$A$238,"Chief Financial Officer",'PRODUCTS AND SERVICES'!$H$4:$H$238,"$100,000 to $200,000")</f>
        <v>0</v>
      </c>
      <c r="I4" s="60">
        <f>COUNTIFS('PRODUCTS AND SERVICES'!$A$4:$A$238,"Chief Financial Officer",'PRODUCTS AND SERVICES'!$H$4:$H$238,"$200,000 to $500,000")</f>
        <v>0</v>
      </c>
      <c r="J4" s="60">
        <f>COUNTIFS('PRODUCTS AND SERVICES'!$A$4:$A$238,"Chief Financial Officer",'PRODUCTS AND SERVICES'!$H$4:$H$238,"$500,000 to $1 million")</f>
        <v>0</v>
      </c>
      <c r="K4" s="60">
        <f>COUNTIFS('PRODUCTS AND SERVICES'!$A$4:$A$238,"Chief Financial Officer",'PRODUCTS AND SERVICES'!$H$4:$H$238,"$1 million to $2 million")</f>
        <v>0</v>
      </c>
      <c r="L4" s="60">
        <f>COUNTIFS('PRODUCTS AND SERVICES'!$A$4:$A$238,"Chief Financial Officer",'PRODUCTS AND SERVICES'!$H$4:$H$238,"$2 million to $3 million")</f>
        <v>0</v>
      </c>
      <c r="M4" s="60">
        <f>COUNTIFS('PRODUCTS AND SERVICES'!$A$4:$A$238,"Chief Financial Officer",'PRODUCTS AND SERVICES'!$H$4:$H$238,"$3 million to $5 million")</f>
        <v>2</v>
      </c>
      <c r="N4" s="60">
        <f>COUNTIFS('PRODUCTS AND SERVICES'!$A$4:$A$238,"Chief Financial Officer",'PRODUCTS AND SERVICES'!$H$4:$H$238,"$5 million to $10 million")</f>
        <v>0</v>
      </c>
      <c r="O4" s="60">
        <f>COUNTIFS('PRODUCTS AND SERVICES'!$A$4:$A$238,"Chief Financial Officer",'PRODUCTS AND SERVICES'!$H$4:$H$238,"$10 million to $50 million")</f>
        <v>0</v>
      </c>
      <c r="P4" s="60">
        <f>COUNTIFS('PRODUCTS AND SERVICES'!$A$4:$A$238,"Chief Financial Officer",'PRODUCTS AND SERVICES'!$H$4:$H$238,"$50 million to $150 million")</f>
        <v>0</v>
      </c>
      <c r="Q4" s="60">
        <f>COUNTIFS('PRODUCTS AND SERVICES'!$A$4:$A$238,"Chief Financial Officer",'PRODUCTS AND SERVICES'!$H$4:$H$238,"$150 million or more")</f>
        <v>0</v>
      </c>
      <c r="R4" s="46">
        <f t="shared" si="0"/>
        <v>2</v>
      </c>
    </row>
    <row r="5" spans="1:18" ht="27.6" x14ac:dyDescent="0.3">
      <c r="A5" s="59" t="s">
        <v>208</v>
      </c>
      <c r="B5" s="60">
        <f>COUNTIFS('PRODUCTS AND SERVICES'!$A$4:$A$238,"Chief Human Capital Officer",'PRODUCTS AND SERVICES'!$H$4:$H$238,"$0 to $5,000")</f>
        <v>0</v>
      </c>
      <c r="C5" s="60">
        <f>COUNTIFS('PRODUCTS AND SERVICES'!$A$4:$A$238,"Chief Human Capital Officer",'PRODUCTS AND SERVICES'!$H$4:$H$238,"$5,000 to $10,000*")</f>
        <v>4</v>
      </c>
      <c r="D5" s="60">
        <f>COUNTIFS('PRODUCTS AND SERVICES'!$A$4:$A$238,"Chief Human Capital Officer",'PRODUCTS AND SERVICES'!$H$4:$H$238,"$10,000 to $25,000")</f>
        <v>2</v>
      </c>
      <c r="E5" s="60">
        <f>COUNTIFS('PRODUCTS AND SERVICES'!$A$4:$A$238,"Chief Human Capital Officer",'PRODUCTS AND SERVICES'!$H$4:$H$238,"$25,000 to $50,000")</f>
        <v>3</v>
      </c>
      <c r="F5" s="60">
        <f>COUNTIFS('PRODUCTS AND SERVICES'!$A$4:$A$238,"Chief Human Capital Officer",'PRODUCTS AND SERVICES'!$H$4:$H$238,"$50,000 to $75,000")</f>
        <v>0</v>
      </c>
      <c r="G5" s="60">
        <f>COUNTIFS('PRODUCTS AND SERVICES'!$A$4:$A$238,"Chief Human Capital Officer",'PRODUCTS AND SERVICES'!$H$4:$H$238,"$75,000 to $100,000")</f>
        <v>1</v>
      </c>
      <c r="H5" s="60">
        <f>COUNTIFS('PRODUCTS AND SERVICES'!$A$4:$A$238,"Chief Human Capital Officer",'PRODUCTS AND SERVICES'!$H$4:$H$238,"$100,000 to $200,000")</f>
        <v>2</v>
      </c>
      <c r="I5" s="60">
        <f>COUNTIFS('PRODUCTS AND SERVICES'!$A$4:$A$238,"Chief Human Capital Officer",'PRODUCTS AND SERVICES'!$H$4:$H$238,"$200,000 to $500,000")</f>
        <v>0</v>
      </c>
      <c r="J5" s="60">
        <f>COUNTIFS('PRODUCTS AND SERVICES'!$A$4:$A$238,"Chief Human Capital Officer",'PRODUCTS AND SERVICES'!$H$4:$H$238,"$500,000 to $1 million")</f>
        <v>0</v>
      </c>
      <c r="K5" s="60">
        <f>COUNTIFS('PRODUCTS AND SERVICES'!$A$4:$A$238,"Chief Human Capital Officer",'PRODUCTS AND SERVICES'!$H$4:$H$238,"$1 million to $2 million")</f>
        <v>2</v>
      </c>
      <c r="L5" s="60">
        <f>COUNTIFS('PRODUCTS AND SERVICES'!$A$4:$A$238,"Chief Human Capital Officer",'PRODUCTS AND SERVICES'!$H$4:$H$238,"$2 million to $3 million")</f>
        <v>0</v>
      </c>
      <c r="M5" s="60">
        <f>COUNTIFS('PRODUCTS AND SERVICES'!$A$4:$A$238,"Chief Human Capital Officer",'PRODUCTS AND SERVICES'!$H$4:$H$238,"$3 million to $5 million")</f>
        <v>0</v>
      </c>
      <c r="N5" s="60">
        <f>COUNTIFS('PRODUCTS AND SERVICES'!$A$4:$A$238,"Chief Human Capital Officer",'PRODUCTS AND SERVICES'!$H$4:$H$238,"$5 million to $10 million")</f>
        <v>0</v>
      </c>
      <c r="O5" s="60">
        <f>COUNTIFS('PRODUCTS AND SERVICES'!$A$4:$A$238,"Chief Human Capital Officer",'PRODUCTS AND SERVICES'!$H$4:$H$238,"$10 million to $50 million")</f>
        <v>0</v>
      </c>
      <c r="P5" s="60">
        <f>COUNTIFS('PRODUCTS AND SERVICES'!$A$4:$A$238,"Chief Human Capital Officer",'PRODUCTS AND SERVICES'!$H$4:$H$238,"$50 million to $150 million")</f>
        <v>0</v>
      </c>
      <c r="Q5" s="60">
        <f>COUNTIFS('PRODUCTS AND SERVICES'!$A$4:$A$238,"Chief Human Capital Officer",'PRODUCTS AND SERVICES'!$H$4:$H$238,"$150 million or more")</f>
        <v>0</v>
      </c>
      <c r="R5" s="46">
        <f t="shared" si="0"/>
        <v>14</v>
      </c>
    </row>
    <row r="6" spans="1:18" x14ac:dyDescent="0.3">
      <c r="A6" s="59" t="s">
        <v>209</v>
      </c>
      <c r="B6" s="60">
        <f>COUNTIFS('PRODUCTS AND SERVICES'!$A$4:$A$238,"Chief Information Officer",'PRODUCTS AND SERVICES'!$H$4:$H$238,"$0 to $5,000")</f>
        <v>0</v>
      </c>
      <c r="C6" s="60">
        <f>COUNTIFS('PRODUCTS AND SERVICES'!$A$4:$A$238,"Chief Information Officer",'PRODUCTS AND SERVICES'!$H$4:$H$238,"$5,000 to $10,000")</f>
        <v>0</v>
      </c>
      <c r="D6" s="60">
        <f>COUNTIFS('PRODUCTS AND SERVICES'!$A$4:$A$238,"Chief Information Officer",'PRODUCTS AND SERVICES'!$H$4:$H$238,"$10,000 to $25,000")</f>
        <v>0</v>
      </c>
      <c r="E6" s="60">
        <f>COUNTIFS('PRODUCTS AND SERVICES'!$A$4:$A$238,"Chief Information Officer",'PRODUCTS AND SERVICES'!$H$4:$H$238,"$25,000 to $50,000")</f>
        <v>0</v>
      </c>
      <c r="F6" s="60">
        <f>COUNTIFS('PRODUCTS AND SERVICES'!$A$4:$A$238,"Chief Information Officer",'PRODUCTS AND SERVICES'!$H$4:$H$238,"$50,000 to $75,000")</f>
        <v>2</v>
      </c>
      <c r="G6" s="60">
        <f>COUNTIFS('PRODUCTS AND SERVICES'!$A$4:$A$238,"Chief Information Officer",'PRODUCTS AND SERVICES'!$H$4:$H$238,"$75,000 to $100,000")</f>
        <v>0</v>
      </c>
      <c r="H6" s="60">
        <f>COUNTIFS('PRODUCTS AND SERVICES'!$A$4:$A$238,"Chief Information Officer",'PRODUCTS AND SERVICES'!$H$4:$H$238,"$100,000 to $200,000")</f>
        <v>0</v>
      </c>
      <c r="I6" s="60">
        <f>COUNTIFS('PRODUCTS AND SERVICES'!$A$4:$A$238,"Chief Information Officer",'PRODUCTS AND SERVICES'!$H$4:$H$238,"$200,000 to $500,000")</f>
        <v>0</v>
      </c>
      <c r="J6" s="60">
        <f>COUNTIFS('PRODUCTS AND SERVICES'!$A$4:$A$238,"Chief Information Officer",'PRODUCTS AND SERVICES'!$H$4:$H$238,"$500,000 to $1 million")</f>
        <v>3</v>
      </c>
      <c r="K6" s="60">
        <f>COUNTIFS('PRODUCTS AND SERVICES'!$A$4:$A$238,"Chief Information Officer",'PRODUCTS AND SERVICES'!$H$4:$H$238,"$1 million to $2 million")</f>
        <v>2</v>
      </c>
      <c r="L6" s="60">
        <f>COUNTIFS('PRODUCTS AND SERVICES'!$A$4:$A$238,"Chief Information Officer",'PRODUCTS AND SERVICES'!$H$4:$H$238,"$2 million to $3 million")</f>
        <v>0</v>
      </c>
      <c r="M6" s="60">
        <f>COUNTIFS('PRODUCTS AND SERVICES'!$A$4:$A$238,"Chief Information Officer",'PRODUCTS AND SERVICES'!$H$4:$H$238,"$3 million to $5 million")</f>
        <v>4</v>
      </c>
      <c r="N6" s="60">
        <f>COUNTIFS('PRODUCTS AND SERVICES'!$A$4:$A$238,"Chief Information Officer",'PRODUCTS AND SERVICES'!$H$4:$H$238,"$5 million to $10 million")</f>
        <v>4</v>
      </c>
      <c r="O6" s="60">
        <f>COUNTIFS('PRODUCTS AND SERVICES'!$A$4:$A$238,"Chief Information Officer",'PRODUCTS AND SERVICES'!$H$4:$H$238,"$10 million to $50 million")</f>
        <v>1</v>
      </c>
      <c r="P6" s="60">
        <f>COUNTIFS('PRODUCTS AND SERVICES'!$A$4:$A$238,"Chief Information Officer",'PRODUCTS AND SERVICES'!$H$4:$H$238,"$50 million to $150 million")</f>
        <v>1</v>
      </c>
      <c r="Q6" s="60">
        <f>COUNTIFS('PRODUCTS AND SERVICES'!$A$4:$A$238,"Chief Information Officer",'PRODUCTS AND SERVICES'!$H$4:$H$238,"$150 million or more")</f>
        <v>1</v>
      </c>
      <c r="R6" s="46">
        <f t="shared" si="0"/>
        <v>18</v>
      </c>
    </row>
    <row r="7" spans="1:18" ht="27.6" x14ac:dyDescent="0.3">
      <c r="A7" s="59" t="s">
        <v>210</v>
      </c>
      <c r="B7" s="60">
        <f>COUNTIFS('PRODUCTS AND SERVICES'!$A$4:$A$238,"Chief Procurement Officer",'PRODUCTS AND SERVICES'!$H$4:$H$238,"$0 to $5,000")</f>
        <v>0</v>
      </c>
      <c r="C7" s="60">
        <f>COUNTIFS('PRODUCTS AND SERVICES'!$A$4:$A$238,"Chief Procurement Officer",'PRODUCTS AND SERVICES'!$H$4:$H$238,"$5,000 to $10,000")</f>
        <v>0</v>
      </c>
      <c r="D7" s="60">
        <f>COUNTIFS('PRODUCTS AND SERVICES'!$A$4:$A$238,"Chief Procurement Officer",'PRODUCTS AND SERVICES'!$H$4:$H$238,"$10,000 to $25,000")</f>
        <v>0</v>
      </c>
      <c r="E7" s="60">
        <f>COUNTIFS('PRODUCTS AND SERVICES'!$A$4:$A$238,"Chief Procurement Officer",'PRODUCTS AND SERVICES'!$H$4:$H$238,"$25,000 to $50,000")</f>
        <v>2</v>
      </c>
      <c r="F7" s="60">
        <f>COUNTIFS('PRODUCTS AND SERVICES'!$A$4:$A$238,"Chief Procurement Officer",'PRODUCTS AND SERVICES'!$H$4:$H$238,"$50,000 to $75,000")</f>
        <v>0</v>
      </c>
      <c r="G7" s="60">
        <f>COUNTIFS('PRODUCTS AND SERVICES'!$A$4:$A$238,"Chief Procurement Officer",'PRODUCTS AND SERVICES'!$H$4:$H$238,"$75,000 to $100,000")</f>
        <v>0</v>
      </c>
      <c r="H7" s="60">
        <f>COUNTIFS('PRODUCTS AND SERVICES'!$A$4:$A$238,"Chief Procurement Officer",'PRODUCTS AND SERVICES'!$H$4:$H$238,"$100,000 to $200,000")</f>
        <v>0</v>
      </c>
      <c r="I7" s="60">
        <f>COUNTIFS('PRODUCTS AND SERVICES'!$A$4:$A$238,"Chief Procurement Officer",'PRODUCTS AND SERVICES'!$H$4:$H$238,"$200,000 to $500,000")</f>
        <v>2</v>
      </c>
      <c r="J7" s="60">
        <f>COUNTIFS('PRODUCTS AND SERVICES'!$A$4:$A$238,"Chief Procurement Officer",'PRODUCTS AND SERVICES'!$H$4:$H$238,"$500,000 to $1 million")</f>
        <v>0</v>
      </c>
      <c r="K7" s="60">
        <f>COUNTIFS('PRODUCTS AND SERVICES'!$A$4:$A$238,"Chief Procurement Officer",'PRODUCTS AND SERVICES'!$H$4:$H$238,"$1 million to $2 million")</f>
        <v>0</v>
      </c>
      <c r="L7" s="60">
        <f>COUNTIFS('PRODUCTS AND SERVICES'!$A$4:$A$238,"Chief Procurement Officer",'PRODUCTS AND SERVICES'!$H$4:$H$238,"$2 million to $3 million")</f>
        <v>0</v>
      </c>
      <c r="M7" s="60">
        <f>COUNTIFS('PRODUCTS AND SERVICES'!$A$4:$A$238,"Chief Procurement Officer",'PRODUCTS AND SERVICES'!$H$4:$H$238,"$3 million to $5 million")</f>
        <v>0</v>
      </c>
      <c r="N7" s="60">
        <f>COUNTIFS('PRODUCTS AND SERVICES'!$A$4:$A$238,"Chief Procurement Officer",'PRODUCTS AND SERVICES'!$H$4:$H$238,"$5 million to $10 million")</f>
        <v>0</v>
      </c>
      <c r="O7" s="60">
        <f>COUNTIFS('PRODUCTS AND SERVICES'!$A$4:$A$238,"Chief Procurement Officer",'PRODUCTS AND SERVICES'!$H$4:$H$238,"$10 million to $50 million")</f>
        <v>0</v>
      </c>
      <c r="P7" s="60">
        <f>COUNTIFS('PRODUCTS AND SERVICES'!$A$4:$A$238,"Chief Procurement Officer",'PRODUCTS AND SERVICES'!$H$4:$H$238,"$50 million to $150 million")</f>
        <v>0</v>
      </c>
      <c r="Q7" s="60">
        <f>COUNTIFS('PRODUCTS AND SERVICES'!$A$4:$A$238,"Chief Procurement Officer",'PRODUCTS AND SERVICES'!$H$4:$H$238,"$150 million or more")</f>
        <v>0</v>
      </c>
      <c r="R7" s="46">
        <f t="shared" si="0"/>
        <v>4</v>
      </c>
    </row>
    <row r="8" spans="1:18" ht="27.6" x14ac:dyDescent="0.3">
      <c r="A8" s="59" t="s">
        <v>211</v>
      </c>
      <c r="B8" s="60">
        <f>COUNTIFS('PRODUCTS AND SERVICES'!$A$4:$A$238,"Community Planning and Development",'PRODUCTS AND SERVICES'!$H$4:$H$238,"$0 to $5,000")</f>
        <v>0</v>
      </c>
      <c r="C8" s="60">
        <f>COUNTIFS('PRODUCTS AND SERVICES'!$A$4:$A$238,"Community Planning and Development",'PRODUCTS AND SERVICES'!$H$4:$H$238,"$5,000 to $10,000")</f>
        <v>0</v>
      </c>
      <c r="D8" s="60">
        <f>COUNTIFS('PRODUCTS AND SERVICES'!$A$4:$A$238,"Community Planning and Development",'PRODUCTS AND SERVICES'!$H$4:$H$238,"$10,000 to $25,000")</f>
        <v>0</v>
      </c>
      <c r="E8" s="60">
        <f>COUNTIFS('PRODUCTS AND SERVICES'!$A$4:$A$238,"Community Planning and Development",'PRODUCTS AND SERVICES'!$H$4:$H$238,"$25,000 to $50,000")</f>
        <v>0</v>
      </c>
      <c r="F8" s="60">
        <f>COUNTIFS('PRODUCTS AND SERVICES'!$A$4:$A$238,"Community Planning and Development",'PRODUCTS AND SERVICES'!$H$4:$H$238,"$50,000 to $75,000")</f>
        <v>0</v>
      </c>
      <c r="G8" s="60">
        <f>COUNTIFS('PRODUCTS AND SERVICES'!$A$4:$A$238,"Community Planning and Development",'PRODUCTS AND SERVICES'!$H$4:$H$238,"$75,000 to $100,000")</f>
        <v>0</v>
      </c>
      <c r="H8" s="60">
        <f>COUNTIFS('PRODUCTS AND SERVICES'!$A$4:$A$238,"Community Planning and Development",'PRODUCTS AND SERVICES'!$H$4:$H$238,"$100,000 to $200,000")</f>
        <v>0</v>
      </c>
      <c r="I8" s="60">
        <f>COUNTIFS('PRODUCTS AND SERVICES'!$A$4:$A$238,"Community Planning and Development",'PRODUCTS AND SERVICES'!$H$4:$H$238,"$200,000 to $500,000")</f>
        <v>0</v>
      </c>
      <c r="J8" s="60">
        <f>COUNTIFS('PRODUCTS AND SERVICES'!$A$4:$A$238,"Community Planning and Development",'PRODUCTS AND SERVICES'!$H$4:$H$238,"$500,000 to $1 million")</f>
        <v>2</v>
      </c>
      <c r="K8" s="60">
        <f>COUNTIFS('PRODUCTS AND SERVICES'!$A$4:$A$238,"Community Planning and Development",'PRODUCTS AND SERVICES'!$H$4:$H$238,"$1 million to $2 million")</f>
        <v>0</v>
      </c>
      <c r="L8" s="60">
        <f>COUNTIFS('PRODUCTS AND SERVICES'!$A$4:$A$238,"Community Planning and Development",'PRODUCTS AND SERVICES'!$H$4:$H$238,"$2 million to $3 million")</f>
        <v>0</v>
      </c>
      <c r="M8" s="60">
        <f>COUNTIFS('PRODUCTS AND SERVICES'!$A$4:$A$238,"Community Planning and Development",'PRODUCTS AND SERVICES'!$H$4:$H$238,"$3 million to $5 million")</f>
        <v>0</v>
      </c>
      <c r="N8" s="60">
        <f>COUNTIFS('PRODUCTS AND SERVICES'!$A$4:$A$238,"Community Planning and Development",'PRODUCTS AND SERVICES'!$H$4:$H$238,"$5 million to $10 million")</f>
        <v>0</v>
      </c>
      <c r="O8" s="60">
        <f>COUNTIFS('PRODUCTS AND SERVICES'!$A$4:$A$238,"Community Planning and Development",'PRODUCTS AND SERVICES'!$H$4:$H$238,"$10 million to $50 million")</f>
        <v>0</v>
      </c>
      <c r="P8" s="60">
        <f>COUNTIFS('PRODUCTS AND SERVICES'!$A$4:$A$238,"Community Planning and Development",'PRODUCTS AND SERVICES'!$H$4:$H$238,"$50 million to $150 million")</f>
        <v>0</v>
      </c>
      <c r="Q8" s="60">
        <f>COUNTIFS('PRODUCTS AND SERVICES'!$A$4:$A$238,"Community Planning and Development",'PRODUCTS AND SERVICES'!$H$4:$H$238,"$150 million or more")</f>
        <v>0</v>
      </c>
      <c r="R8" s="46">
        <f t="shared" si="0"/>
        <v>2</v>
      </c>
    </row>
    <row r="9" spans="1:18" ht="28.2" x14ac:dyDescent="0.3">
      <c r="A9" s="92" t="s">
        <v>263</v>
      </c>
      <c r="B9" s="60">
        <f>COUNTIFS('PRODUCTS AND SERVICES'!$A$4:$A$238,"Departmental Equal Employment Opportunity",'PRODUCTS AND SERVICES'!$H$4:$H$238,"$0 to $5,000")</f>
        <v>0</v>
      </c>
      <c r="C9" s="60">
        <f>COUNTIFS('PRODUCTS AND SERVICES'!$A$4:$A$238,"Departmental Equal Employment Opportunity",'PRODUCTS AND SERVICES'!$H$4:$H$238,"$5,000 to $10,000")</f>
        <v>0</v>
      </c>
      <c r="D9" s="60">
        <f>COUNTIFS('PRODUCTS AND SERVICES'!$A$4:$A$238,"Departmental Equal Employment Opportunity",'PRODUCTS AND SERVICES'!$H$4:$H$238,"$10,000 to $25,000")</f>
        <v>0</v>
      </c>
      <c r="E9" s="60">
        <f>COUNTIFS('PRODUCTS AND SERVICES'!$A$4:$A$238,"Departmental Equal Employment Opportunity",'PRODUCTS AND SERVICES'!$H$4:$H$238,"$25,000 to $50,000")</f>
        <v>0</v>
      </c>
      <c r="F9" s="60">
        <f>COUNTIFS('PRODUCTS AND SERVICES'!$A$4:$A$238,"Departmental Equal Employment Opportunity",'PRODUCTS AND SERVICES'!$H$4:$H$238,"$50,000 to $75,000")</f>
        <v>0</v>
      </c>
      <c r="G9" s="60">
        <f>COUNTIFS('PRODUCTS AND SERVICES'!$A$4:$A$238,"Departmental Equal Employment Opportunity",'PRODUCTS AND SERVICES'!$H$4:$H$238,"$75,000 to $100,000")</f>
        <v>0</v>
      </c>
      <c r="H9" s="60">
        <f>COUNTIFS('PRODUCTS AND SERVICES'!$A$4:$A$238,"Departmental Equal Employment Opportunity",'PRODUCTS AND SERVICES'!$H$4:$H$238,"$100,000 to $200,000")</f>
        <v>0</v>
      </c>
      <c r="I9" s="60">
        <f>COUNTIFS('PRODUCTS AND SERVICES'!$A$4:$A$238,"Departmental Equal Employment Opportunity",'PRODUCTS AND SERVICES'!$H$4:$H$238,"$200,000 to $500,000")</f>
        <v>0</v>
      </c>
      <c r="J9" s="60">
        <f>COUNTIFS('PRODUCTS AND SERVICES'!$A$4:$A$238,"Departmental Equal Employment Opportunity",'PRODUCTS AND SERVICES'!$H$4:$H$238,"$500,000 to $1 million")</f>
        <v>0</v>
      </c>
      <c r="K9" s="60">
        <f>COUNTIFS('PRODUCTS AND SERVICES'!$A$4:$A$238,"Departmental Equal Employment Opportunity",'PRODUCTS AND SERVICES'!$H$4:$H$238,"$1 million to $2 million")</f>
        <v>0</v>
      </c>
      <c r="L9" s="60">
        <f>COUNTIFS('PRODUCTS AND SERVICES'!$A$4:$A$238,"Departmental Equal Employment Opportunity",'PRODUCTS AND SERVICES'!$H$4:$H$238,"$2 million to $3 million")</f>
        <v>1</v>
      </c>
      <c r="M9" s="60">
        <f>COUNTIFS('PRODUCTS AND SERVICES'!$A$4:$A$238,"Departmental Equal Employment Opportunity",'PRODUCTS AND SERVICES'!$H$4:$H$238,"$3 million to $5 million")</f>
        <v>0</v>
      </c>
      <c r="N9" s="60">
        <f>COUNTIFS('PRODUCTS AND SERVICES'!$A$4:$A$238,"Departmental Equal Employment Opportunity",'PRODUCTS AND SERVICES'!$H$4:$H$238,"$5 million to $10 million")</f>
        <v>0</v>
      </c>
      <c r="O9" s="60">
        <f>COUNTIFS('PRODUCTS AND SERVICES'!$A$4:$A$238,"Departmental Equal Employment Opportunity",'PRODUCTS AND SERVICES'!$H$4:$H$238,"$10 million to $50 million")</f>
        <v>0</v>
      </c>
      <c r="P9" s="60">
        <f>COUNTIFS('PRODUCTS AND SERVICES'!$A$4:$A$238,"Departmental Equal Employment Opportunity",'PRODUCTS AND SERVICES'!$H$4:$H$238,"$50 million to $150 million")</f>
        <v>0</v>
      </c>
      <c r="Q9" s="60">
        <f>COUNTIFS('PRODUCTS AND SERVICES'!$A$4:$A$238,"Departmental Equal Employment Opportunity",'PRODUCTS AND SERVICES'!$H$4:$H$238,"$150 million or more")</f>
        <v>0</v>
      </c>
      <c r="R9" s="46">
        <f t="shared" ref="R9" si="1">SUM(B9:Q9)</f>
        <v>1</v>
      </c>
    </row>
    <row r="10" spans="1:18" ht="27.6" x14ac:dyDescent="0.3">
      <c r="A10" s="59" t="s">
        <v>212</v>
      </c>
      <c r="B10" s="60">
        <f>COUNTIFS('PRODUCTS AND SERVICES'!$A$4:$A$238,"Fair Housing and Equal Opportunity",'PRODUCTS AND SERVICES'!$H$4:$H$238,"$0 to $5,000")</f>
        <v>0</v>
      </c>
      <c r="C10" s="60">
        <f>COUNTIFS('PRODUCTS AND SERVICES'!$A$4:$A$238,"Fair Housing and Equal Opportunity",'PRODUCTS AND SERVICES'!$H$4:$H$238,"$5,000 to $10,000")</f>
        <v>0</v>
      </c>
      <c r="D10" s="60">
        <f>COUNTIFS('PRODUCTS AND SERVICES'!$A$4:$A$238,"Fair Housing and Equal Opportunity",'PRODUCTS AND SERVICES'!$H$4:$H$238,"$10,000 to $25,000")</f>
        <v>0</v>
      </c>
      <c r="E10" s="60">
        <f>COUNTIFS('PRODUCTS AND SERVICES'!$A$4:$A$238,"Fair Housing and Equal Opportunity",'PRODUCTS AND SERVICES'!$H$4:$H$238,"$25,000 to $50,000")</f>
        <v>0</v>
      </c>
      <c r="F10" s="60">
        <f>COUNTIFS('PRODUCTS AND SERVICES'!$A$4:$A$238,"Fair Housing and Equal Opportunity",'PRODUCTS AND SERVICES'!$H$4:$H$238,"$50,000 to $75,000")</f>
        <v>0</v>
      </c>
      <c r="G10" s="60">
        <f>COUNTIFS('PRODUCTS AND SERVICES'!$A$4:$A$238,"Fair Housing and Equal Opportunity",'PRODUCTS AND SERVICES'!$H$4:$H$238,"$75,000 to $100,000")</f>
        <v>0</v>
      </c>
      <c r="H10" s="60">
        <f>COUNTIFS('PRODUCTS AND SERVICES'!$A$4:$A$238,"Fair Housing and Equal Opportunity",'PRODUCTS AND SERVICES'!$H$4:$H$238,"$100,000 to $200,000")</f>
        <v>0</v>
      </c>
      <c r="I10" s="60">
        <f>COUNTIFS('PRODUCTS AND SERVICES'!$A$4:$A$238,"Fair Housing and Equal Opportunity",'PRODUCTS AND SERVICES'!$H$4:$H$238,"$200,000 to $500,000")</f>
        <v>1</v>
      </c>
      <c r="J10" s="60">
        <f>COUNTIFS('PRODUCTS AND SERVICES'!$A$4:$A$238,"Fair Housing and Equal Opportunity",'PRODUCTS AND SERVICES'!$H$4:$H$238,"$500,000 to $1 million")</f>
        <v>1</v>
      </c>
      <c r="K10" s="60">
        <f>COUNTIFS('PRODUCTS AND SERVICES'!$A$4:$A$238,"Fair Housing and Equal Opportunity",'PRODUCTS AND SERVICES'!$H$4:$H$238,"$1 million to $2 million")</f>
        <v>1</v>
      </c>
      <c r="L10" s="60">
        <f>COUNTIFS('PRODUCTS AND SERVICES'!$A$4:$A$238,"Fair Housing and Equal Opportunity",'PRODUCTS AND SERVICES'!$H$4:$H$238,"$2 million to $3 million")</f>
        <v>1</v>
      </c>
      <c r="M10" s="60">
        <f>COUNTIFS('PRODUCTS AND SERVICES'!$A$4:$A$238,"Fair Housing and Equal Opportunity",'PRODUCTS AND SERVICES'!$H$4:$H$238,"$3 million to $5 million")</f>
        <v>2</v>
      </c>
      <c r="N10" s="60">
        <f>COUNTIFS('PRODUCTS AND SERVICES'!$A$4:$A$238,"Fair Housing and Equal Opportunity",'PRODUCTS AND SERVICES'!$H$4:$H$238,"$5 million to $10 million")</f>
        <v>1</v>
      </c>
      <c r="O10" s="60">
        <f>COUNTIFS('PRODUCTS AND SERVICES'!$A$4:$A$238,"Fair Housing and Equal Opportunity",'PRODUCTS AND SERVICES'!$H$4:$H$238,"$10 million to $50 million")</f>
        <v>0</v>
      </c>
      <c r="P10" s="60">
        <f>COUNTIFS('PRODUCTS AND SERVICES'!$A$4:$A$238,"Fair Housing and Equal Opportunity",'PRODUCTS AND SERVICES'!$H$4:$H$238,"$50 million to $150 million")</f>
        <v>0</v>
      </c>
      <c r="Q10" s="60">
        <f>COUNTIFS('PRODUCTS AND SERVICES'!$A$4:$A$238,"Fair Housing and Equal Opportunity",'PRODUCTS AND SERVICES'!$H$4:$H$238,"$150 million or more")</f>
        <v>0</v>
      </c>
      <c r="R10" s="46">
        <f>SUM(B10:Q10)</f>
        <v>7</v>
      </c>
    </row>
    <row r="11" spans="1:18" ht="27.6" x14ac:dyDescent="0.3">
      <c r="A11" s="59" t="s">
        <v>213</v>
      </c>
      <c r="B11" s="60">
        <f>COUNTIFS('PRODUCTS AND SERVICES'!$A$4:$A$238,"Field Policy and Management",'PRODUCTS AND SERVICES'!$H$4:$H$238,"$0 to $5,000")</f>
        <v>0</v>
      </c>
      <c r="C11" s="60">
        <f>COUNTIFS('PRODUCTS AND SERVICES'!$A$4:$A$238,"Field Policy and Management",'PRODUCTS AND SERVICES'!$H$4:$H$238,"$5,000 to $10,000")</f>
        <v>0</v>
      </c>
      <c r="D11" s="60">
        <f>COUNTIFS('PRODUCTS AND SERVICES'!$A$4:$A$238,"Field Policy and Management",'PRODUCTS AND SERVICES'!$H$4:$H$238,"$10,000 to $25,000")</f>
        <v>0</v>
      </c>
      <c r="E11" s="60">
        <f>COUNTIFS('PRODUCTS AND SERVICES'!$A$4:$A$238,"Field Policy and Management",'PRODUCTS AND SERVICES'!$H$4:$H$238,"$25,000 to $50,000")</f>
        <v>2</v>
      </c>
      <c r="F11" s="60">
        <f>COUNTIFS('PRODUCTS AND SERVICES'!$A$4:$A$238,"Field Policy and Management",'PRODUCTS AND SERVICES'!$H$4:$H$238,"$50,000 to $75,000")</f>
        <v>2</v>
      </c>
      <c r="G11" s="60">
        <f>COUNTIFS('PRODUCTS AND SERVICES'!$A$4:$A$238,"Field Policy and Management",'PRODUCTS AND SERVICES'!$H$4:$H$238,"$75,000 to $100,000")</f>
        <v>0</v>
      </c>
      <c r="H11" s="60">
        <f>COUNTIFS('PRODUCTS AND SERVICES'!$A$4:$A$238,"Field Policy and Management",'PRODUCTS AND SERVICES'!$H$4:$H$238,"$100,000 to $200,000")</f>
        <v>0</v>
      </c>
      <c r="I11" s="60">
        <f>COUNTIFS('PRODUCTS AND SERVICES'!$A$4:$A$238,"Field Policy and Management",'PRODUCTS AND SERVICES'!$H$4:$H$238,"$200,000 to $500,000")</f>
        <v>0</v>
      </c>
      <c r="J11" s="60">
        <f>COUNTIFS('PRODUCTS AND SERVICES'!$A$4:$A$238,"Field Policy and Management",'PRODUCTS AND SERVICES'!$H$4:$H$238,"$500,000 to $1 million")</f>
        <v>0</v>
      </c>
      <c r="K11" s="60">
        <f>COUNTIFS('PRODUCTS AND SERVICES'!$A$4:$A$238,"Field Policy and Management",'PRODUCTS AND SERVICES'!$H$4:$H$238,"$1 million to $2 million")</f>
        <v>0</v>
      </c>
      <c r="L11" s="60">
        <f>COUNTIFS('PRODUCTS AND SERVICES'!$A$4:$A$238,"Field Policy and Management",'PRODUCTS AND SERVICES'!$H$4:$H$238,"$2 million to $3 million")</f>
        <v>0</v>
      </c>
      <c r="M11" s="60">
        <f>COUNTIFS('PRODUCTS AND SERVICES'!$A$4:$A$238,"Field Policy and Management",'PRODUCTS AND SERVICES'!$H$4:$H$238,"$3 million to $5 million")</f>
        <v>0</v>
      </c>
      <c r="N11" s="60">
        <f>COUNTIFS('PRODUCTS AND SERVICES'!$A$4:$A$238,"Field Policy and Management",'PRODUCTS AND SERVICES'!$H$4:$H$238,"$5 million to $10 million")</f>
        <v>0</v>
      </c>
      <c r="O11" s="60">
        <f>COUNTIFS('PRODUCTS AND SERVICES'!$A$4:$A$238,"Field Policy and Management",'PRODUCTS AND SERVICES'!$H$4:$H$238,"$10 million to $50 million")</f>
        <v>0</v>
      </c>
      <c r="P11" s="60">
        <f>COUNTIFS('PRODUCTS AND SERVICES'!$A$4:$A$238,"Field Policy and Management",'PRODUCTS AND SERVICES'!$H$4:$H$238,"$50 million to $150 million")</f>
        <v>0</v>
      </c>
      <c r="Q11" s="60">
        <f>COUNTIFS('PRODUCTS AND SERVICES'!$A$4:$A$238,"Field Policy and Management",'PRODUCTS AND SERVICES'!$H$4:$H$238,"$150 million or more")</f>
        <v>0</v>
      </c>
      <c r="R11" s="46">
        <f t="shared" si="0"/>
        <v>4</v>
      </c>
    </row>
    <row r="12" spans="1:18" x14ac:dyDescent="0.3">
      <c r="A12" s="59" t="s">
        <v>214</v>
      </c>
      <c r="B12" s="60">
        <f>COUNTIFS('PRODUCTS AND SERVICES'!$A$4:$A$238,"General Counsel",'PRODUCTS AND SERVICES'!$H$4:$H$238,"$0 to $5,000")</f>
        <v>0</v>
      </c>
      <c r="C12" s="60">
        <f>COUNTIFS('PRODUCTS AND SERVICES'!$A$4:$A$238,"General Counsel",'PRODUCTS AND SERVICES'!$H$4:$H$238,"$5,000 to $10,000")</f>
        <v>0</v>
      </c>
      <c r="D12" s="60">
        <f>COUNTIFS('PRODUCTS AND SERVICES'!$A$4:$A$238,"General Counsel",'PRODUCTS AND SERVICES'!$H$4:$H$238,"$10,000 to $25,000")</f>
        <v>0</v>
      </c>
      <c r="E12" s="60">
        <f>COUNTIFS('PRODUCTS AND SERVICES'!$A$4:$A$238,"General Counsel",'PRODUCTS AND SERVICES'!$H$4:$H$238,"$25,000 to $50,000")</f>
        <v>0</v>
      </c>
      <c r="F12" s="60">
        <f>COUNTIFS('PRODUCTS AND SERVICES'!$A$4:$A$238,"General Counsel",'PRODUCTS AND SERVICES'!$H$4:$H$238,"$50,000 to $75,000")</f>
        <v>0</v>
      </c>
      <c r="G12" s="60">
        <f>COUNTIFS('PRODUCTS AND SERVICES'!$A$4:$A$238,"General Counsel",'PRODUCTS AND SERVICES'!$H$4:$H$238,"$75,000 to $100,000")</f>
        <v>0</v>
      </c>
      <c r="H12" s="60">
        <f>COUNTIFS('PRODUCTS AND SERVICES'!$A$4:$A$238,"General Counsel",'PRODUCTS AND SERVICES'!$H$4:$H$238,"$100,000 to $200,000")</f>
        <v>0</v>
      </c>
      <c r="I12" s="60">
        <f>COUNTIFS('PRODUCTS AND SERVICES'!$A$4:$A$238,"General Counsel",'PRODUCTS AND SERVICES'!$H$4:$H$238,"$200,000 to $500,000")</f>
        <v>0</v>
      </c>
      <c r="J12" s="60">
        <f>COUNTIFS('PRODUCTS AND SERVICES'!$A$4:$A$238,"General Counsel",'PRODUCTS AND SERVICES'!$H$4:$H$238,"$500,000 to $1 million")</f>
        <v>0</v>
      </c>
      <c r="K12" s="60">
        <f>COUNTIFS('PRODUCTS AND SERVICES'!$A$4:$A$238,"General Counsel",'PRODUCTS AND SERVICES'!$H$4:$H$238,"$1 million to $2 million")</f>
        <v>0</v>
      </c>
      <c r="L12" s="60">
        <f>COUNTIFS('PRODUCTS AND SERVICES'!$A$4:$A$238,"General Counsel",'PRODUCTS AND SERVICES'!$H$4:$H$238,"$2 million to $3 million")</f>
        <v>0</v>
      </c>
      <c r="M12" s="60">
        <f>COUNTIFS('PRODUCTS AND SERVICES'!$A$4:$A$238,"General Counsel",'PRODUCTS AND SERVICES'!$H$4:$H$238,"$3 million to $5 million")</f>
        <v>0</v>
      </c>
      <c r="N12" s="60">
        <f>COUNTIFS('PRODUCTS AND SERVICES'!$A$4:$A$238,"General Counsel",'PRODUCTS AND SERVICES'!$H$4:$H$238,"$5 million to $10 million")</f>
        <v>0</v>
      </c>
      <c r="O12" s="60">
        <f>COUNTIFS('PRODUCTS AND SERVICES'!$A$4:$A$238,"General Counsel",'PRODUCTS AND SERVICES'!$H$4:$H$238,"$10 million to $50 million")</f>
        <v>0</v>
      </c>
      <c r="P12" s="60">
        <f>COUNTIFS('PRODUCTS AND SERVICES'!$A$4:$A$238,"General Counsel",'PRODUCTS AND SERVICES'!$H$4:$H$238,"$50 million to $150 million")</f>
        <v>0</v>
      </c>
      <c r="Q12" s="60">
        <f>COUNTIFS('PRODUCTS AND SERVICES'!$A$4:$A$238,"General Counsel",'PRODUCTS AND SERVICES'!$H$4:$H$238,"$150 million or more")</f>
        <v>0</v>
      </c>
      <c r="R12" s="46">
        <f t="shared" si="0"/>
        <v>0</v>
      </c>
    </row>
    <row r="13" spans="1:18" ht="27.6" x14ac:dyDescent="0.3">
      <c r="A13" s="59" t="s">
        <v>215</v>
      </c>
      <c r="B13" s="60">
        <f>COUNTIFS('PRODUCTS AND SERVICES'!$A$4:$A$238,"Ginnie Mae",'PRODUCTS AND SERVICES'!$H$4:$H$238,"$0 to $5,000")</f>
        <v>0</v>
      </c>
      <c r="C13" s="60">
        <f>COUNTIFS('PRODUCTS AND SERVICES'!$A$4:$A$238,"Ginnie Mae",'PRODUCTS AND SERVICES'!$H$4:$H$238,"$5,000 to $10,000")</f>
        <v>0</v>
      </c>
      <c r="D13" s="60">
        <f>COUNTIFS('PRODUCTS AND SERVICES'!$A$4:$A$238,"Ginnie Mae",'PRODUCTS AND SERVICES'!$H$4:$H$238,"$10,000 to $25,000")</f>
        <v>0</v>
      </c>
      <c r="E13" s="60">
        <f>COUNTIFS('PRODUCTS AND SERVICES'!$A$4:$A$238,"Ginnie Mae",'PRODUCTS AND SERVICES'!$H$4:$H$238,"$25,000 to $50,000")</f>
        <v>8</v>
      </c>
      <c r="F13" s="60">
        <f>COUNTIFS('PRODUCTS AND SERVICES'!$A$4:$A$238,"Ginnie Mae",'PRODUCTS AND SERVICES'!$H$4:$H$238,"$50,000 to $75,000")</f>
        <v>0</v>
      </c>
      <c r="G13" s="60">
        <f>COUNTIFS('PRODUCTS AND SERVICES'!$A$4:$A$238,"Ginnie Mae",'PRODUCTS AND SERVICES'!$H$4:$H$238,"$75,000 to $100,000")</f>
        <v>0</v>
      </c>
      <c r="H13" s="60">
        <f>COUNTIFS('PRODUCTS AND SERVICES'!$A$4:$A$238,"Ginnie Mae",'PRODUCTS AND SERVICES'!$H$4:$H$238,"$100,000 to $200,000")</f>
        <v>0</v>
      </c>
      <c r="I13" s="60">
        <f>COUNTIFS('PRODUCTS AND SERVICES'!$A$4:$A$238,"Ginnie Mae",'PRODUCTS AND SERVICES'!$H$4:$H$238,"$200,000 to $500,000")</f>
        <v>0</v>
      </c>
      <c r="J13" s="60">
        <f>COUNTIFS('PRODUCTS AND SERVICES'!$A$4:$A$238,"Ginnie Mae",'PRODUCTS AND SERVICES'!$H$4:$H$238,"$500,000 to $1 million")</f>
        <v>1</v>
      </c>
      <c r="K13" s="60">
        <f>COUNTIFS('PRODUCTS AND SERVICES'!$A$4:$A$238,"Ginnie Mae",'PRODUCTS AND SERVICES'!$H$4:$H$238,"$1 million to $2 million")</f>
        <v>2</v>
      </c>
      <c r="L13" s="60">
        <f>COUNTIFS('PRODUCTS AND SERVICES'!$A$4:$A$238,"Ginnie Mae",'PRODUCTS AND SERVICES'!$H$4:$H$238,"$2 million to $3 million")</f>
        <v>1</v>
      </c>
      <c r="M13" s="60">
        <f>COUNTIFS('PRODUCTS AND SERVICES'!$A$4:$A$238,"Ginnie Mae",'PRODUCTS AND SERVICES'!$H$4:$H$238,"$3 million to $5 million")</f>
        <v>0</v>
      </c>
      <c r="N13" s="60">
        <f>COUNTIFS('PRODUCTS AND SERVICES'!$A$4:$A$238,"Ginnie Mae",'PRODUCTS AND SERVICES'!$H$4:$H$238,"$5 million to $10 million")</f>
        <v>4</v>
      </c>
      <c r="O13" s="60">
        <f>COUNTIFS('PRODUCTS AND SERVICES'!$A$4:$A$238,"Ginnie Mae",'PRODUCTS AND SERVICES'!$H$4:$H$238,"$10 million to $50 million")</f>
        <v>11</v>
      </c>
      <c r="P13" s="60">
        <f>COUNTIFS('PRODUCTS AND SERVICES'!$A$4:$A$238,"Ginnie Mae",'PRODUCTS AND SERVICES'!$H$4:$H$238,"$50 million to $150 million")</f>
        <v>2</v>
      </c>
      <c r="Q13" s="60">
        <f>COUNTIFS('PRODUCTS AND SERVICES'!$A$4:$A$238,"Ginnie Mae",'PRODUCTS AND SERVICES'!$H$4:$H$238,"$150 million or more")</f>
        <v>0</v>
      </c>
      <c r="R13" s="46">
        <f t="shared" si="0"/>
        <v>29</v>
      </c>
    </row>
    <row r="14" spans="1:18" x14ac:dyDescent="0.3">
      <c r="A14" s="59" t="s">
        <v>216</v>
      </c>
      <c r="B14" s="60">
        <f>COUNTIFS('PRODUCTS AND SERVICES'!$A$4:$A$238,"Housing",'PRODUCTS AND SERVICES'!$H$4:$H$238,"$0 to $5,000")</f>
        <v>0</v>
      </c>
      <c r="C14" s="60">
        <f>COUNTIFS('PRODUCTS AND SERVICES'!$A$4:$A$238,"Housing",'PRODUCTS AND SERVICES'!$H$4:$H$238,"$5,000 to $10,000")</f>
        <v>0</v>
      </c>
      <c r="D14" s="60">
        <f>COUNTIFS('PRODUCTS AND SERVICES'!$A$4:$A$238,"Housing",'PRODUCTS AND SERVICES'!$H$4:$H$238,"$10,000 to $25,000")</f>
        <v>0</v>
      </c>
      <c r="E14" s="60">
        <f>COUNTIFS('PRODUCTS AND SERVICES'!$A$4:$A$238,"Housing",'PRODUCTS AND SERVICES'!$H$4:$H$238,"$25,000 to $50,000")</f>
        <v>3</v>
      </c>
      <c r="F14" s="60">
        <f>COUNTIFS('PRODUCTS AND SERVICES'!$A$4:$A$238,"Housing",'PRODUCTS AND SERVICES'!$H$4:$H$238,"$50,000 to $75,000")</f>
        <v>4</v>
      </c>
      <c r="G14" s="60">
        <f>COUNTIFS('PRODUCTS AND SERVICES'!$A$4:$A$238,"Housing",'PRODUCTS AND SERVICES'!$H$4:$H$238,"$75,000 to $100,000")</f>
        <v>9</v>
      </c>
      <c r="H14" s="60">
        <f>COUNTIFS('PRODUCTS AND SERVICES'!$A$4:$A$238,"Housing",'PRODUCTS AND SERVICES'!$H$4:$H$238,"$100,000 to $200,000")</f>
        <v>5</v>
      </c>
      <c r="I14" s="60">
        <f>COUNTIFS('PRODUCTS AND SERVICES'!$A$4:$A$238,"Housing",'PRODUCTS AND SERVICES'!$H$4:$H$238,"$200,000 to $500,000")</f>
        <v>8</v>
      </c>
      <c r="J14" s="60">
        <f>COUNTIFS('PRODUCTS AND SERVICES'!$A$4:$A$238,"Housing",'PRODUCTS AND SERVICES'!$H$4:$H$238,"$500,000 to $1 million")</f>
        <v>6</v>
      </c>
      <c r="K14" s="60">
        <f>COUNTIFS('PRODUCTS AND SERVICES'!$A$4:$A$238,"Housing",'PRODUCTS AND SERVICES'!$H$4:$H$238,"$1 million to $2 million")</f>
        <v>2</v>
      </c>
      <c r="L14" s="60">
        <f>COUNTIFS('PRODUCTS AND SERVICES'!$A$4:$A$238,"Housing",'PRODUCTS AND SERVICES'!$H$4:$H$238,"$2 million to $3 million")</f>
        <v>5</v>
      </c>
      <c r="M14" s="60">
        <f>COUNTIFS('PRODUCTS AND SERVICES'!$A$4:$A$238,"Housing",'PRODUCTS AND SERVICES'!$H$4:$H$238,"$3 million to $5 million")</f>
        <v>13</v>
      </c>
      <c r="N14" s="60">
        <f>COUNTIFS('PRODUCTS AND SERVICES'!$A$4:$A$238,"Housing",'PRODUCTS AND SERVICES'!$H$4:$H$238,"$5 million to $10 million")</f>
        <v>6</v>
      </c>
      <c r="O14" s="60">
        <f>COUNTIFS('PRODUCTS AND SERVICES'!$A$4:$A$238,"Housing",'PRODUCTS AND SERVICES'!$H$4:$H$238,"$10 million to $50 million")</f>
        <v>4</v>
      </c>
      <c r="P14" s="60">
        <f>COUNTIFS('PRODUCTS AND SERVICES'!$A$4:$A$238,"Housing",'PRODUCTS AND SERVICES'!$H$4:$H$238,"$50 million to $150 million")</f>
        <v>0</v>
      </c>
      <c r="Q14" s="60">
        <f>COUNTIFS('PRODUCTS AND SERVICES'!$A$4:$A$238,"Housing",'PRODUCTS AND SERVICES'!$H$4:$H$238,"$150 million or more")</f>
        <v>2</v>
      </c>
      <c r="R14" s="46">
        <f t="shared" si="0"/>
        <v>67</v>
      </c>
    </row>
    <row r="15" spans="1:18" ht="27.6" x14ac:dyDescent="0.3">
      <c r="A15" s="59" t="s">
        <v>217</v>
      </c>
      <c r="B15" s="60">
        <f>COUNTIFS('PRODUCTS AND SERVICES'!$A$4:$A$238,"Lead Hazard Control and Healthy Homes",'PRODUCTS AND SERVICES'!$H$4:$H$238,"$0 to $5,000")</f>
        <v>0</v>
      </c>
      <c r="C15" s="60">
        <f>COUNTIFS('PRODUCTS AND SERVICES'!$A$4:$A$238,"Lead Hazard Control and Healthy Homes",'PRODUCTS AND SERVICES'!$H$4:$H$238,"$5,000 to $10,000")</f>
        <v>0</v>
      </c>
      <c r="D15" s="60">
        <f>COUNTIFS('PRODUCTS AND SERVICES'!$A$4:$A$238,"Lead Hazard Control and Healthy Homes",'PRODUCTS AND SERVICES'!$H$4:$H$238,"$10,000 to $25,000")</f>
        <v>0</v>
      </c>
      <c r="E15" s="60">
        <f>COUNTIFS('PRODUCTS AND SERVICES'!$A$4:$A$238,"Lead Hazard Control and Healthy Homes",'PRODUCTS AND SERVICES'!$H$4:$H$238,"$25,000 to $50,000")</f>
        <v>0</v>
      </c>
      <c r="F15" s="60">
        <f>COUNTIFS('PRODUCTS AND SERVICES'!$A$4:$A$238,"Lead Hazard Control and Healthy Homes",'PRODUCTS AND SERVICES'!$H$4:$H$238,"$50,000 to $75,000")</f>
        <v>0</v>
      </c>
      <c r="G15" s="60">
        <f>COUNTIFS('PRODUCTS AND SERVICES'!$A$4:$A$238,"Lead Hazard Control and Healthy Homes",'PRODUCTS AND SERVICES'!$H$4:$H$238,"$75,000 to $100,000")</f>
        <v>0</v>
      </c>
      <c r="H15" s="60">
        <f>COUNTIFS('PRODUCTS AND SERVICES'!$A$4:$A$238,"Lead Hazard Control and Healthy Homes",'PRODUCTS AND SERVICES'!$H$4:$H$238,"$100,000 to $200,000")</f>
        <v>0</v>
      </c>
      <c r="I15" s="60">
        <f>COUNTIFS('PRODUCTS AND SERVICES'!$A$4:$A$238,"Lead Hazard Control and Healthy Homes",'PRODUCTS AND SERVICES'!$H$4:$H$238,"$200,000 to $500,000")</f>
        <v>0</v>
      </c>
      <c r="J15" s="60">
        <f>COUNTIFS('PRODUCTS AND SERVICES'!$A$4:$A$238,"Lead Hazard Control and Healthy Homes",'PRODUCTS AND SERVICES'!$H$4:$H$238,"$500,000 to $1 million")</f>
        <v>0</v>
      </c>
      <c r="K15" s="60">
        <f>COUNTIFS('PRODUCTS AND SERVICES'!$A$4:$A$238,"Lead Hazard Control and Healthy Homes",'PRODUCTS AND SERVICES'!$H$4:$H$238,"$1 million to $2 million")</f>
        <v>1</v>
      </c>
      <c r="L15" s="60">
        <f>COUNTIFS('PRODUCTS AND SERVICES'!$A$4:$A$238,"Lead Hazard Control and Healthy Homes",'PRODUCTS AND SERVICES'!$H$4:$H$238,"$2 million to $3 million")</f>
        <v>0</v>
      </c>
      <c r="M15" s="60">
        <f>COUNTIFS('PRODUCTS AND SERVICES'!$A$4:$A$238,"Lead Hazard Control and Healthy Homes",'PRODUCTS AND SERVICES'!$H$4:$H$238,"$3 million to $5 million")</f>
        <v>0</v>
      </c>
      <c r="N15" s="60">
        <f>COUNTIFS('PRODUCTS AND SERVICES'!$A$4:$A$238,"Lead Hazard Control and Healthy Homes",'PRODUCTS AND SERVICES'!$H$4:$H$238,"$5 million to $10 million")</f>
        <v>0</v>
      </c>
      <c r="O15" s="60">
        <f>COUNTIFS('PRODUCTS AND SERVICES'!$A$4:$A$238,"Lead Hazard Control and Healthy Homes",'PRODUCTS AND SERVICES'!$H$4:$H$238,"$10 million to $50 million")</f>
        <v>0</v>
      </c>
      <c r="P15" s="60">
        <f>COUNTIFS('PRODUCTS AND SERVICES'!$A$4:$A$238,"Lead Hazard Control and Healthy Homes",'PRODUCTS AND SERVICES'!$H$4:$H$238,"$50 million to $150 million")</f>
        <v>0</v>
      </c>
      <c r="Q15" s="60">
        <f>COUNTIFS('PRODUCTS AND SERVICES'!$A$4:$A$238,"Lead Hazard Control and Healthy Homes",'PRODUCTS AND SERVICES'!$H$4:$H$238,"$150 million or more")</f>
        <v>0</v>
      </c>
      <c r="R15" s="46">
        <f t="shared" si="0"/>
        <v>1</v>
      </c>
    </row>
    <row r="16" spans="1:18" ht="27.6" x14ac:dyDescent="0.3">
      <c r="A16" s="59" t="s">
        <v>218</v>
      </c>
      <c r="B16" s="60">
        <f>COUNTIFS('PRODUCTS AND SERVICES'!$A$4:$A$238,"Policy Development and Research",'PRODUCTS AND SERVICES'!$H$4:$H$238,"$0 to $5,000")</f>
        <v>0</v>
      </c>
      <c r="C16" s="60">
        <f>COUNTIFS('PRODUCTS AND SERVICES'!$A$4:$A$238,"Policy Development and Research",'PRODUCTS AND SERVICES'!$H$4:$H$238,"$5,000 to $10,000")</f>
        <v>0</v>
      </c>
      <c r="D16" s="60">
        <f>COUNTIFS('PRODUCTS AND SERVICES'!$A$4:$A$238,"Policy Development and Research",'PRODUCTS AND SERVICES'!$H$4:$H$238,"$10,000 to $25,000")</f>
        <v>0</v>
      </c>
      <c r="E16" s="60">
        <f>COUNTIFS('PRODUCTS AND SERVICES'!$A$4:$A$238,"Policy Development and Research",'PRODUCTS AND SERVICES'!$H$4:$H$238,"$25,000 to $50,000")</f>
        <v>0</v>
      </c>
      <c r="F16" s="60">
        <f>COUNTIFS('PRODUCTS AND SERVICES'!$A$4:$A$238,"Policy Development and Research",'PRODUCTS AND SERVICES'!$H$4:$H$238,"$50,000 to $75,000")</f>
        <v>0</v>
      </c>
      <c r="G16" s="60">
        <f>COUNTIFS('PRODUCTS AND SERVICES'!$A$4:$A$238,"Policy Development and Research",'PRODUCTS AND SERVICES'!$H$4:$H$238,"$75,000 to $100,000")</f>
        <v>2</v>
      </c>
      <c r="H16" s="60">
        <f>COUNTIFS('PRODUCTS AND SERVICES'!$A$4:$A$238,"Policy Development and Research",'PRODUCTS AND SERVICES'!$H$4:$H$238,"$100,000 to $200,000")</f>
        <v>5</v>
      </c>
      <c r="I16" s="60">
        <f>COUNTIFS('PRODUCTS AND SERVICES'!$A$4:$A$238,"Policy Development and Research",'PRODUCTS AND SERVICES'!$H$4:$H$238,"$200,000 to $500,000")</f>
        <v>14</v>
      </c>
      <c r="J16" s="60">
        <f>COUNTIFS('PRODUCTS AND SERVICES'!$A$4:$A$238,"Policy Development and Research",'PRODUCTS AND SERVICES'!$H$4:$H$238,"$500,000 to $1 million")</f>
        <v>10</v>
      </c>
      <c r="K16" s="60">
        <f>COUNTIFS('PRODUCTS AND SERVICES'!$A$4:$A$238,"Policy Development and Research",'PRODUCTS AND SERVICES'!$H$4:$H$238,"$1 million to $2 million")</f>
        <v>3</v>
      </c>
      <c r="L16" s="60">
        <f>COUNTIFS('PRODUCTS AND SERVICES'!$A$4:$A$238,"Policy Development and Research",'PRODUCTS AND SERVICES'!$H$4:$H$238,"$2 million to $3 million")</f>
        <v>4</v>
      </c>
      <c r="M16" s="60">
        <f>COUNTIFS('PRODUCTS AND SERVICES'!$A$4:$A$238,"Policy Development and Research",'PRODUCTS AND SERVICES'!$H$4:$H$238,"$3 million to $5 million")</f>
        <v>2</v>
      </c>
      <c r="N16" s="60">
        <f>COUNTIFS('PRODUCTS AND SERVICES'!$A$4:$A$238,"Policy Development and Research",'PRODUCTS AND SERVICES'!$H$4:$H$238,"$5 million to $10 million")</f>
        <v>0</v>
      </c>
      <c r="O16" s="60">
        <f>COUNTIFS('PRODUCTS AND SERVICES'!$A$4:$A$238,"Policy Development and Research",'PRODUCTS AND SERVICES'!$H$4:$H$238,"$10 million to $50 million")</f>
        <v>0</v>
      </c>
      <c r="P16" s="60">
        <f>COUNTIFS('PRODUCTS AND SERVICES'!$A$4:$A$238,"Policy Development and Research",'PRODUCTS AND SERVICES'!$H$4:$H$238,"$50 million to $150 million")</f>
        <v>1</v>
      </c>
      <c r="Q16" s="60">
        <f>COUNTIFS('PRODUCTS AND SERVICES'!$A$4:$A$238,"Policy Development and Research",'PRODUCTS AND SERVICES'!$H$4:$H$238,"$150 million or more")</f>
        <v>0</v>
      </c>
      <c r="R16" s="46">
        <f t="shared" si="0"/>
        <v>41</v>
      </c>
    </row>
    <row r="17" spans="1:18" x14ac:dyDescent="0.3">
      <c r="A17" s="59" t="s">
        <v>219</v>
      </c>
      <c r="B17" s="60">
        <f>COUNTIFS('PRODUCTS AND SERVICES'!$A$4:$A$238,"Public and Indian Housing",'PRODUCTS AND SERVICES'!$H$4:$H$238,"$0 to $5,000")</f>
        <v>0</v>
      </c>
      <c r="C17" s="60">
        <f>COUNTIFS('PRODUCTS AND SERVICES'!$A$4:$A$238,"Public and Indian Housing",'PRODUCTS AND SERVICES'!$H$4:$H$238,"$5,000 to $10,000")</f>
        <v>0</v>
      </c>
      <c r="D17" s="60">
        <f>COUNTIFS('PRODUCTS AND SERVICES'!$A$4:$A$238,"Public and Indian Housing",'PRODUCTS AND SERVICES'!$H$4:$H$238,"$10,000 to $25,000")</f>
        <v>0</v>
      </c>
      <c r="E17" s="60">
        <f>COUNTIFS('PRODUCTS AND SERVICES'!$A$4:$A$238,"Public and Indian Housing",'PRODUCTS AND SERVICES'!$H$4:$H$238,"$25,000 to $50,000")</f>
        <v>0</v>
      </c>
      <c r="F17" s="60">
        <f>COUNTIFS('PRODUCTS AND SERVICES'!$A$4:$A$238,"Public and Indian Housing",'PRODUCTS AND SERVICES'!$H$4:$H$238,"$50,000 to $75,000")</f>
        <v>0</v>
      </c>
      <c r="G17" s="60">
        <f>COUNTIFS('PRODUCTS AND SERVICES'!$A$4:$A$238,"Public and Indian Housing",'PRODUCTS AND SERVICES'!$H$4:$H$238,"$75,000 to $100,000")</f>
        <v>0</v>
      </c>
      <c r="H17" s="60">
        <f>COUNTIFS('PRODUCTS AND SERVICES'!$A$4:$A$238,"Public and Indian Housing",'PRODUCTS AND SERVICES'!$H$4:$H$238,"$100,000 to $200,000")</f>
        <v>3</v>
      </c>
      <c r="I17" s="60">
        <f>COUNTIFS('PRODUCTS AND SERVICES'!$A$4:$A$238,"Public and Indian Housing",'PRODUCTS AND SERVICES'!$H$4:$H$238,"$200,000 to $500,000")</f>
        <v>0</v>
      </c>
      <c r="J17" s="60">
        <f>COUNTIFS('PRODUCTS AND SERVICES'!$A$4:$A$238,"Public and Indian Housing",'PRODUCTS AND SERVICES'!$H$4:$H$238,"$500,000 to $1 million")</f>
        <v>11</v>
      </c>
      <c r="K17" s="60">
        <f>COUNTIFS('PRODUCTS AND SERVICES'!$A$4:$A$238,"Public and Indian Housing",'PRODUCTS AND SERVICES'!$H$4:$H$238,"$1 million to $2 million")</f>
        <v>3</v>
      </c>
      <c r="L17" s="60">
        <f>COUNTIFS('PRODUCTS AND SERVICES'!$A$4:$A$238,"Public and Indian Housing",'PRODUCTS AND SERVICES'!$H$4:$H$238,"$2 million to $3 million")</f>
        <v>2</v>
      </c>
      <c r="M17" s="60">
        <f>COUNTIFS('PRODUCTS AND SERVICES'!$A$4:$A$238,"Public and Indian Housing",'PRODUCTS AND SERVICES'!$H$4:$H$238,"$3 million to $5 million")</f>
        <v>3</v>
      </c>
      <c r="N17" s="60">
        <f>COUNTIFS('PRODUCTS AND SERVICES'!$A$4:$A$238,"Public and Indian Housing",'PRODUCTS AND SERVICES'!$H$4:$H$238,"$5 million to $10 million")</f>
        <v>1</v>
      </c>
      <c r="O17" s="60">
        <f>COUNTIFS('PRODUCTS AND SERVICES'!$A$4:$A$238,"Public and Indian Housing",'PRODUCTS AND SERVICES'!$H$4:$H$238,"$10 million to $50 million*")</f>
        <v>3</v>
      </c>
      <c r="P17" s="60">
        <f>COUNTIFS('PRODUCTS AND SERVICES'!$A$4:$A$238,"Public and Indian Housing",'PRODUCTS AND SERVICES'!$H$4:$H$238,"$50 million to $150 million")</f>
        <v>1</v>
      </c>
      <c r="Q17" s="60">
        <f>COUNTIFS('PRODUCTS AND SERVICES'!$A$4:$A$238,"Public and Indian Housing",'PRODUCTS AND SERVICES'!$H$4:$H$238,"$150 million or more")</f>
        <v>0</v>
      </c>
      <c r="R17" s="46">
        <f t="shared" si="0"/>
        <v>27</v>
      </c>
    </row>
    <row r="18" spans="1:18" ht="15" thickBot="1" x14ac:dyDescent="0.35">
      <c r="A18" s="59" t="s">
        <v>220</v>
      </c>
      <c r="B18" s="60">
        <f>COUNTIFS('PRODUCTS AND SERVICES'!$A$4:$A$238,"Secretary",'PRODUCTS AND SERVICES'!$H$4:$H$238,"$0 to $5,000")</f>
        <v>0</v>
      </c>
      <c r="C18" s="60">
        <f>COUNTIFS('PRODUCTS AND SERVICES'!$A$4:$A$238,"Secretary",'PRODUCTS AND SERVICES'!$H$4:$H$238,"$5,000 to $10,000")</f>
        <v>0</v>
      </c>
      <c r="D18" s="60">
        <f>COUNTIFS('PRODUCTS AND SERVICES'!$A$4:$A$238,"Secretary",'PRODUCTS AND SERVICES'!$H$4:$H$238,"$10,000 to $25,000")</f>
        <v>0</v>
      </c>
      <c r="E18" s="60">
        <f>COUNTIFS('PRODUCTS AND SERVICES'!$A$4:$A$238,"Secretary",'PRODUCTS AND SERVICES'!$H$4:$H$238,"$25,000 to $50,000")</f>
        <v>0</v>
      </c>
      <c r="F18" s="60">
        <f>COUNTIFS('PRODUCTS AND SERVICES'!$A$4:$A$238,"Secretary",'PRODUCTS AND SERVICES'!$H$4:$H$238,"$50,000 to $75,000")</f>
        <v>0</v>
      </c>
      <c r="G18" s="60">
        <f>COUNTIFS('PRODUCTS AND SERVICES'!$A$4:$A$238,"Secretary",'PRODUCTS AND SERVICES'!$H$4:$H$238,"$75,000 to $100,000")</f>
        <v>0</v>
      </c>
      <c r="H18" s="60">
        <f>COUNTIFS('PRODUCTS AND SERVICES'!$A$4:$A$238,"Secretary",'PRODUCTS AND SERVICES'!$H$4:$H$238,"$100,000 to $200,000")</f>
        <v>0</v>
      </c>
      <c r="I18" s="60">
        <f>COUNTIFS('PRODUCTS AND SERVICES'!$A$4:$A$238,"Secretary",'PRODUCTS AND SERVICES'!$H$4:$H$238,"$200,000 to $500,000")</f>
        <v>1</v>
      </c>
      <c r="J18" s="60">
        <f>COUNTIFS('PRODUCTS AND SERVICES'!$A$4:$A$238,"Secretary",'PRODUCTS AND SERVICES'!$H$4:$H$238,"$500,000 to $1 million")</f>
        <v>0</v>
      </c>
      <c r="K18" s="60">
        <f>COUNTIFS('PRODUCTS AND SERVICES'!$A$4:$A$238,"Secretary",'PRODUCTS AND SERVICES'!$H$4:$H$238,"$1 million to $2 million")</f>
        <v>0</v>
      </c>
      <c r="L18" s="60">
        <f>COUNTIFS('PRODUCTS AND SERVICES'!$A$4:$A$238,"Secretary",'PRODUCTS AND SERVICES'!$H$4:$H$238,"$2 million to $3 million")</f>
        <v>0</v>
      </c>
      <c r="M18" s="60">
        <f>COUNTIFS('PRODUCTS AND SERVICES'!$A$4:$A$238,"Secretary",'PRODUCTS AND SERVICES'!$H$4:$H$238,"$3 million to $5 million")</f>
        <v>0</v>
      </c>
      <c r="N18" s="60">
        <f>COUNTIFS('PRODUCTS AND SERVICES'!$A$4:$A$238,"Secretary",'PRODUCTS AND SERVICES'!$H$4:$H$238,"$5 million to $10 million")</f>
        <v>0</v>
      </c>
      <c r="O18" s="60">
        <f>COUNTIFS('PRODUCTS AND SERVICES'!$A$4:$A$238,"Secretary",'PRODUCTS AND SERVICES'!$H$4:$H$238,"$10 million to $50 million")</f>
        <v>0</v>
      </c>
      <c r="P18" s="60">
        <f>COUNTIFS('PRODUCTS AND SERVICES'!$A$4:$A$238,"Secretary",'PRODUCTS AND SERVICES'!$H$4:$H$238,"$50 million to $150 million")</f>
        <v>0</v>
      </c>
      <c r="Q18" s="60">
        <f>COUNTIFS('PRODUCTS AND SERVICES'!$A$4:$A$238,"Secretary",'PRODUCTS AND SERVICES'!$H$4:$H$238,"$150 million or more")</f>
        <v>0</v>
      </c>
      <c r="R18" s="46">
        <f t="shared" si="0"/>
        <v>1</v>
      </c>
    </row>
    <row r="19" spans="1:18" x14ac:dyDescent="0.3">
      <c r="A19" s="64" t="s">
        <v>205</v>
      </c>
      <c r="B19" s="65">
        <f t="shared" ref="B19:Q19" si="2">SUM(B3:B18)</f>
        <v>0</v>
      </c>
      <c r="C19" s="65">
        <f t="shared" si="2"/>
        <v>4</v>
      </c>
      <c r="D19" s="65">
        <f t="shared" si="2"/>
        <v>2</v>
      </c>
      <c r="E19" s="65">
        <f t="shared" si="2"/>
        <v>18</v>
      </c>
      <c r="F19" s="65">
        <f t="shared" si="2"/>
        <v>11</v>
      </c>
      <c r="G19" s="65">
        <f t="shared" si="2"/>
        <v>12</v>
      </c>
      <c r="H19" s="65">
        <f t="shared" si="2"/>
        <v>18</v>
      </c>
      <c r="I19" s="65">
        <f t="shared" si="2"/>
        <v>28</v>
      </c>
      <c r="J19" s="65">
        <f t="shared" si="2"/>
        <v>35</v>
      </c>
      <c r="K19" s="65">
        <f t="shared" si="2"/>
        <v>18</v>
      </c>
      <c r="L19" s="65">
        <f t="shared" si="2"/>
        <v>15</v>
      </c>
      <c r="M19" s="65">
        <f t="shared" si="2"/>
        <v>26</v>
      </c>
      <c r="N19" s="65">
        <f t="shared" si="2"/>
        <v>17</v>
      </c>
      <c r="O19" s="65">
        <f t="shared" si="2"/>
        <v>22</v>
      </c>
      <c r="P19" s="65">
        <f t="shared" si="2"/>
        <v>5</v>
      </c>
      <c r="Q19" s="65">
        <f t="shared" si="2"/>
        <v>3</v>
      </c>
      <c r="R19" s="66">
        <f t="shared" si="0"/>
        <v>234</v>
      </c>
    </row>
    <row r="21" spans="1:18" x14ac:dyDescent="0.3">
      <c r="A21" s="75" t="s">
        <v>186</v>
      </c>
      <c r="B21" s="11"/>
      <c r="C21" s="11"/>
      <c r="D21" s="11"/>
    </row>
    <row r="22" spans="1:18" x14ac:dyDescent="0.3">
      <c r="A22" s="41"/>
    </row>
    <row r="31" spans="1:18" x14ac:dyDescent="0.3">
      <c r="L31" s="3"/>
    </row>
  </sheetData>
  <sheetProtection algorithmName="SHA-512" hashValue="ACRXSXfPumCOgoL/H6L38NoLkiY8k0QUUDnxXH35u9bYfLLxzdOgs3zY/W3H0JkRYS5aVrRE6gIuBzPI0ZZX7w==" saltValue="K6q9brBVSzQxYqkK+gwNsg==" spinCount="100000" sheet="1" objects="1" scenarios="1"/>
  <mergeCells count="1">
    <mergeCell ref="A1:R1"/>
  </mergeCells>
  <pageMargins left="0.25" right="0.25" top="0.25" bottom="0.3" header="0.15" footer="0.15"/>
  <pageSetup scale="65"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Z63"/>
  <sheetViews>
    <sheetView topLeftCell="A37" workbookViewId="0">
      <selection sqref="A1:T1"/>
    </sheetView>
  </sheetViews>
  <sheetFormatPr defaultColWidth="8.6640625" defaultRowHeight="14.4" x14ac:dyDescent="0.3"/>
  <cols>
    <col min="1" max="1" width="52.33203125" customWidth="1"/>
    <col min="2" max="2" width="8.33203125" customWidth="1"/>
    <col min="3" max="3" width="14.5546875" customWidth="1"/>
    <col min="4" max="4" width="9.44140625" customWidth="1"/>
    <col min="5" max="5" width="10.6640625" customWidth="1"/>
    <col min="6" max="6" width="11.5546875" customWidth="1"/>
    <col min="7" max="7" width="13.33203125" customWidth="1"/>
    <col min="8" max="9" width="13.6640625" style="39" customWidth="1"/>
    <col min="10" max="10" width="12.33203125" customWidth="1"/>
    <col min="11" max="11" width="13" customWidth="1"/>
    <col min="12" max="12" width="8.6640625" customWidth="1"/>
    <col min="13" max="13" width="12.33203125" customWidth="1"/>
    <col min="14" max="14" width="9.33203125" customWidth="1"/>
    <col min="15" max="15" width="12.33203125" customWidth="1"/>
    <col min="16" max="16" width="13.5546875" customWidth="1"/>
    <col min="17" max="17" width="9.6640625" customWidth="1"/>
    <col min="18" max="18" width="11.33203125" customWidth="1"/>
    <col min="19" max="19" width="6" customWidth="1"/>
    <col min="20" max="20" width="11.33203125" customWidth="1"/>
  </cols>
  <sheetData>
    <row r="1" spans="1:20" ht="21" thickBot="1" x14ac:dyDescent="0.4">
      <c r="A1" s="140" t="s">
        <v>29</v>
      </c>
      <c r="B1" s="141"/>
      <c r="C1" s="141"/>
      <c r="D1" s="141"/>
      <c r="E1" s="141"/>
      <c r="F1" s="141"/>
      <c r="G1" s="141"/>
      <c r="H1" s="141"/>
      <c r="I1" s="141"/>
      <c r="J1" s="141"/>
      <c r="K1" s="141"/>
      <c r="L1" s="141"/>
      <c r="M1" s="141"/>
      <c r="N1" s="141"/>
      <c r="O1" s="141"/>
      <c r="P1" s="141"/>
      <c r="Q1" s="141"/>
      <c r="R1" s="141"/>
      <c r="S1" s="141"/>
      <c r="T1" s="142"/>
    </row>
    <row r="2" spans="1:20" ht="82.8" x14ac:dyDescent="0.3">
      <c r="A2" s="35" t="s">
        <v>221</v>
      </c>
      <c r="B2" s="35" t="s">
        <v>222</v>
      </c>
      <c r="C2" s="35" t="s">
        <v>206</v>
      </c>
      <c r="D2" s="35" t="s">
        <v>207</v>
      </c>
      <c r="E2" s="35" t="s">
        <v>208</v>
      </c>
      <c r="F2" s="35" t="s">
        <v>209</v>
      </c>
      <c r="G2" s="35" t="s">
        <v>223</v>
      </c>
      <c r="H2" s="35" t="s">
        <v>224</v>
      </c>
      <c r="I2" s="35" t="s">
        <v>263</v>
      </c>
      <c r="J2" s="35" t="s">
        <v>212</v>
      </c>
      <c r="K2" s="35" t="s">
        <v>811</v>
      </c>
      <c r="L2" s="35" t="s">
        <v>214</v>
      </c>
      <c r="M2" s="35" t="s">
        <v>215</v>
      </c>
      <c r="N2" s="35" t="s">
        <v>216</v>
      </c>
      <c r="O2" s="35" t="s">
        <v>217</v>
      </c>
      <c r="P2" s="35" t="s">
        <v>218</v>
      </c>
      <c r="Q2" s="35" t="s">
        <v>219</v>
      </c>
      <c r="R2" s="35" t="s">
        <v>220</v>
      </c>
      <c r="S2" s="35" t="s">
        <v>205</v>
      </c>
      <c r="T2" s="35" t="s">
        <v>225</v>
      </c>
    </row>
    <row r="3" spans="1:20" x14ac:dyDescent="0.3">
      <c r="A3" s="33" t="s">
        <v>812</v>
      </c>
      <c r="B3" s="61">
        <v>221118</v>
      </c>
      <c r="C3" s="48">
        <f>COUNTIFS('PRODUCTS AND SERVICES'!$A$4:$A$238,"Administration",'PRODUCTS AND SERVICES'!$F$4:$F$238,$B3&amp;"*")</f>
        <v>1</v>
      </c>
      <c r="D3" s="48">
        <f>COUNTIFS('PRODUCTS AND SERVICES'!$A$4:$A$238,"Chief Financial Officer",'PRODUCTS AND SERVICES'!$F$4:$F$238,$B3&amp;"*")</f>
        <v>0</v>
      </c>
      <c r="E3" s="48">
        <f>COUNTIFS('PRODUCTS AND SERVICES'!$A$4:$A$238,"Chief Human Capital Officer",'PRODUCTS AND SERVICES'!$F$4:$F$238,$B3&amp;"*")</f>
        <v>0</v>
      </c>
      <c r="F3" s="48">
        <f>COUNTIFS('PRODUCTS AND SERVICES'!$A$4:$A$238,"Chief Information Officer",'PRODUCTS AND SERVICES'!$F$4:$F$238,$B3&amp;"*")</f>
        <v>0</v>
      </c>
      <c r="G3" s="34">
        <f>COUNTIFS('PRODUCTS AND SERVICES'!$A$4:$A$238,"Chief Procurement Officer",'PRODUCTS AND SERVICES'!$F$4:$F$238,$B3&amp;"*")</f>
        <v>0</v>
      </c>
      <c r="H3" s="48">
        <f>COUNTIFS('PRODUCTS AND SERVICES'!$A$4:$A$238,"Community Planning and Development",'PRODUCTS AND SERVICES'!$F$4:$F$238,$B3&amp;"*")</f>
        <v>0</v>
      </c>
      <c r="I3" s="48">
        <f>COUNTIFS('PRODUCTS AND SERVICES'!$A$4:$A$238,"Departmental Equal Employment Opportunity",'PRODUCTS AND SERVICES'!$F$4:$F$238,$B3&amp;"*")</f>
        <v>0</v>
      </c>
      <c r="J3" s="48">
        <f>COUNTIFS('PRODUCTS AND SERVICES'!$A$4:$A$238,"Fair Housing and Equal Opportunity",'PRODUCTS AND SERVICES'!$F$4:$F$238,$B3&amp;"*")</f>
        <v>0</v>
      </c>
      <c r="K3" s="48">
        <f>COUNTIFS('PRODUCTS AND SERVICES'!$A$4:$A$238,"Field Policy and Management",'PRODUCTS AND SERVICES'!$F$4:$F$238,$B3&amp;"*")</f>
        <v>0</v>
      </c>
      <c r="L3" s="48">
        <f>COUNTIFS('PRODUCTS AND SERVICES'!$A$4:$A$238,"General Counsel",'PRODUCTS AND SERVICES'!$F$4:$F$238,$B3&amp;"*")</f>
        <v>0</v>
      </c>
      <c r="M3" s="48">
        <f>COUNTIFS('PRODUCTS AND SERVICES'!$A$4:$A$238,"Ginnie Mae",'PRODUCTS AND SERVICES'!$F$4:$F$238,$B3&amp;"*")</f>
        <v>0</v>
      </c>
      <c r="N3" s="48">
        <f>COUNTIFS('PRODUCTS AND SERVICES'!$A$4:$A$238,"Housing",'PRODUCTS AND SERVICES'!$F$4:$F$238,$B3&amp;"*")</f>
        <v>0</v>
      </c>
      <c r="O3" s="48">
        <f>COUNTIFS('PRODUCTS AND SERVICES'!$A$4:$A$238,"Lead Hazard Control and Healthy Homes",'PRODUCTS AND SERVICES'!$F$4:$F$238,$B3&amp;"*")</f>
        <v>0</v>
      </c>
      <c r="P3" s="48">
        <f>COUNTIFS('PRODUCTS AND SERVICES'!$A$4:$A$238,"Policy Development and Research",'PRODUCTS AND SERVICES'!$F$4:$F$238,$B3&amp;"*")</f>
        <v>0</v>
      </c>
      <c r="Q3" s="48">
        <f>COUNTIFS('PRODUCTS AND SERVICES'!$A$4:$A$238,"Public and Indian Housing",'PRODUCTS AND SERVICES'!$F$4:$F$238,$B3&amp;"*")</f>
        <v>0</v>
      </c>
      <c r="R3" s="48">
        <f>COUNTIFS('PRODUCTS AND SERVICES'!$A$4:$A$238,"Secretary",'PRODUCTS AND SERVICES'!$F$4:$F$238,$B3&amp;"*")</f>
        <v>0</v>
      </c>
      <c r="S3" s="49">
        <f t="shared" ref="S3:S58" si="0">SUM(C3:R3)</f>
        <v>1</v>
      </c>
      <c r="T3" s="50">
        <f t="shared" ref="T3:T17" si="1">S3/$S$59</f>
        <v>4.2735042735042739E-3</v>
      </c>
    </row>
    <row r="4" spans="1:20" x14ac:dyDescent="0.3">
      <c r="A4" s="33" t="s">
        <v>813</v>
      </c>
      <c r="B4" s="61">
        <v>236220</v>
      </c>
      <c r="C4" s="48">
        <f>COUNTIFS('PRODUCTS AND SERVICES'!$A$4:$A$238,"Administration",'PRODUCTS AND SERVICES'!$F$4:$F$238,$B4&amp;"*")</f>
        <v>1</v>
      </c>
      <c r="D4" s="48">
        <f>COUNTIFS('PRODUCTS AND SERVICES'!$A$4:$A$238,"Chief Financial Officer",'PRODUCTS AND SERVICES'!$F$4:$F$238,$B4&amp;"*")</f>
        <v>0</v>
      </c>
      <c r="E4" s="48">
        <f>COUNTIFS('PRODUCTS AND SERVICES'!$A$4:$A$238,"Chief Human Capital Officer",'PRODUCTS AND SERVICES'!$F$4:$F$238,$B4&amp;"*")</f>
        <v>0</v>
      </c>
      <c r="F4" s="48">
        <f>COUNTIFS('PRODUCTS AND SERVICES'!$A$4:$A$238,"Chief Information Officer",'PRODUCTS AND SERVICES'!$F$4:$F$238,$B4&amp;"*")</f>
        <v>0</v>
      </c>
      <c r="G4" s="34">
        <f>COUNTIFS('PRODUCTS AND SERVICES'!$A$4:$A$238,"Chief Procurement Officer",'PRODUCTS AND SERVICES'!$F$4:$F$238,$B4&amp;"*")</f>
        <v>0</v>
      </c>
      <c r="H4" s="48">
        <f>COUNTIFS('PRODUCTS AND SERVICES'!$A$4:$A$238,"Community Planning and Development",'PRODUCTS AND SERVICES'!$F$4:$F$238,$B4&amp;"*")</f>
        <v>0</v>
      </c>
      <c r="I4" s="48">
        <f>COUNTIFS('PRODUCTS AND SERVICES'!$A$4:$A$238,"Departmental Equal Employment Opportunity",'PRODUCTS AND SERVICES'!$F$4:$F$238,$B4&amp;"*")</f>
        <v>0</v>
      </c>
      <c r="J4" s="48">
        <f>COUNTIFS('PRODUCTS AND SERVICES'!$A$4:$A$238,"Fair Housing and Equal Opportunity",'PRODUCTS AND SERVICES'!$F$4:$F$238,$B4&amp;"*")</f>
        <v>0</v>
      </c>
      <c r="K4" s="48">
        <f>COUNTIFS('PRODUCTS AND SERVICES'!$A$4:$A$238,"Field Policy and Management",'PRODUCTS AND SERVICES'!$F$4:$F$238,$B4&amp;"*")</f>
        <v>0</v>
      </c>
      <c r="L4" s="48">
        <f>COUNTIFS('PRODUCTS AND SERVICES'!$A$4:$A$238,"General Counsel",'PRODUCTS AND SERVICES'!$F$4:$F$238,$B4&amp;"*")</f>
        <v>0</v>
      </c>
      <c r="M4" s="48">
        <f>COUNTIFS('PRODUCTS AND SERVICES'!$A$4:$A$238,"Ginnie Mae",'PRODUCTS AND SERVICES'!$F$4:$F$238,$B4&amp;"*")</f>
        <v>0</v>
      </c>
      <c r="N4" s="48">
        <f>COUNTIFS('PRODUCTS AND SERVICES'!$A$4:$A$238,"Housing",'PRODUCTS AND SERVICES'!$F$4:$F$238,$B4&amp;"*")</f>
        <v>0</v>
      </c>
      <c r="O4" s="48">
        <f>COUNTIFS('PRODUCTS AND SERVICES'!$A$4:$A$238,"Lead Hazard Control and Healthy Homes",'PRODUCTS AND SERVICES'!$F$4:$F$238,$B4&amp;"*")</f>
        <v>0</v>
      </c>
      <c r="P4" s="48">
        <f>COUNTIFS('PRODUCTS AND SERVICES'!$A$4:$A$238,"Policy Development and Research",'PRODUCTS AND SERVICES'!$F$4:$F$238,$B4&amp;"*")</f>
        <v>0</v>
      </c>
      <c r="Q4" s="48">
        <f>COUNTIFS('PRODUCTS AND SERVICES'!$A$4:$A$238,"Public and Indian Housing",'PRODUCTS AND SERVICES'!$F$4:$F$238,$B4&amp;"*")</f>
        <v>0</v>
      </c>
      <c r="R4" s="48">
        <f>COUNTIFS('PRODUCTS AND SERVICES'!$A$4:$A$238,"Secretary",'PRODUCTS AND SERVICES'!$F$4:$F$238,$B4&amp;"*")</f>
        <v>0</v>
      </c>
      <c r="S4" s="49">
        <f t="shared" si="0"/>
        <v>1</v>
      </c>
      <c r="T4" s="50">
        <f t="shared" si="1"/>
        <v>4.2735042735042739E-3</v>
      </c>
    </row>
    <row r="5" spans="1:20" x14ac:dyDescent="0.3">
      <c r="A5" s="33" t="s">
        <v>814</v>
      </c>
      <c r="B5" s="61">
        <v>238990</v>
      </c>
      <c r="C5" s="48">
        <f>COUNTIFS('PRODUCTS AND SERVICES'!$A$4:$A$238,"Administration",'PRODUCTS AND SERVICES'!$F$4:$F$238,$B5&amp;"*")</f>
        <v>0</v>
      </c>
      <c r="D5" s="48">
        <f>COUNTIFS('PRODUCTS AND SERVICES'!$A$4:$A$238,"Chief Financial Officer",'PRODUCTS AND SERVICES'!$F$4:$F$238,$B5&amp;"*")</f>
        <v>0</v>
      </c>
      <c r="E5" s="48">
        <f>COUNTIFS('PRODUCTS AND SERVICES'!$A$4:$A$238,"Chief Human Capital Officer",'PRODUCTS AND SERVICES'!$F$4:$F$238,$B5&amp;"*")</f>
        <v>0</v>
      </c>
      <c r="F5" s="48">
        <f>COUNTIFS('PRODUCTS AND SERVICES'!$A$4:$A$238,"Chief Information Officer",'PRODUCTS AND SERVICES'!$F$4:$F$238,$B5&amp;"*")</f>
        <v>0</v>
      </c>
      <c r="G5" s="34">
        <f>COUNTIFS('PRODUCTS AND SERVICES'!$A$4:$A$238,"Chief Procurement Officer",'PRODUCTS AND SERVICES'!$F$4:$F$238,$B5&amp;"*")</f>
        <v>0</v>
      </c>
      <c r="H5" s="48">
        <f>COUNTIFS('PRODUCTS AND SERVICES'!$A$4:$A$238,"Community Planning and Development",'PRODUCTS AND SERVICES'!$F$4:$F$238,$B5&amp;"*")</f>
        <v>0</v>
      </c>
      <c r="I5" s="48">
        <f>COUNTIFS('PRODUCTS AND SERVICES'!$A$4:$A$238,"Departmental Equal Employment Opportunity",'PRODUCTS AND SERVICES'!$F$4:$F$238,$B5&amp;"*")</f>
        <v>0</v>
      </c>
      <c r="J5" s="48">
        <f>COUNTIFS('PRODUCTS AND SERVICES'!$A$4:$A$238,"Fair Housing and Equal Opportunity",'PRODUCTS AND SERVICES'!$F$4:$F$238,$B5&amp;"*")</f>
        <v>0</v>
      </c>
      <c r="K5" s="48">
        <f>COUNTIFS('PRODUCTS AND SERVICES'!$A$4:$A$238,"Field Policy and Management",'PRODUCTS AND SERVICES'!$F$4:$F$238,$B5&amp;"*")</f>
        <v>0</v>
      </c>
      <c r="L5" s="48">
        <f>COUNTIFS('PRODUCTS AND SERVICES'!$A$4:$A$238,"General Counsel",'PRODUCTS AND SERVICES'!$F$4:$F$238,$B5&amp;"*")</f>
        <v>0</v>
      </c>
      <c r="M5" s="48">
        <f>COUNTIFS('PRODUCTS AND SERVICES'!$A$4:$A$238,"Ginnie Mae",'PRODUCTS AND SERVICES'!$F$4:$F$238,$B5&amp;"*")</f>
        <v>0</v>
      </c>
      <c r="N5" s="48">
        <f>COUNTIFS('PRODUCTS AND SERVICES'!$A$4:$A$238,"Housing",'PRODUCTS AND SERVICES'!$F$4:$F$238,$B5&amp;"*")</f>
        <v>0</v>
      </c>
      <c r="O5" s="48">
        <f>COUNTIFS('PRODUCTS AND SERVICES'!$A$4:$A$238,"Lead Hazard Control and Healthy Homes",'PRODUCTS AND SERVICES'!$F$4:$F$238,$B5&amp;"*")</f>
        <v>0</v>
      </c>
      <c r="P5" s="48">
        <f>COUNTIFS('PRODUCTS AND SERVICES'!$A$4:$A$238,"Policy Development and Research",'PRODUCTS AND SERVICES'!$F$4:$F$238,$B5&amp;"*")</f>
        <v>0</v>
      </c>
      <c r="Q5" s="48">
        <f>COUNTIFS('PRODUCTS AND SERVICES'!$A$4:$A$238,"Public and Indian Housing",'PRODUCTS AND SERVICES'!$F$4:$F$238,$B5&amp;"*")</f>
        <v>1</v>
      </c>
      <c r="R5" s="48">
        <f>COUNTIFS('PRODUCTS AND SERVICES'!$A$4:$A$238,"Secretary",'PRODUCTS AND SERVICES'!$F$4:$F$238,$B5&amp;"*")</f>
        <v>0</v>
      </c>
      <c r="S5" s="49">
        <f t="shared" si="0"/>
        <v>1</v>
      </c>
      <c r="T5" s="50">
        <f t="shared" si="1"/>
        <v>4.2735042735042739E-3</v>
      </c>
    </row>
    <row r="6" spans="1:20" ht="27.6" x14ac:dyDescent="0.3">
      <c r="A6" s="33" t="s">
        <v>815</v>
      </c>
      <c r="B6" s="61">
        <v>332812</v>
      </c>
      <c r="C6" s="48">
        <f>COUNTIFS('PRODUCTS AND SERVICES'!$A$4:$A$238,"Administration",'PRODUCTS AND SERVICES'!$F$4:$F$238,$B6&amp;"*")</f>
        <v>0</v>
      </c>
      <c r="D6" s="48">
        <f>COUNTIFS('PRODUCTS AND SERVICES'!$A$4:$A$238,"Chief Financial Officer",'PRODUCTS AND SERVICES'!$F$4:$F$238,$B6&amp;"*")</f>
        <v>0</v>
      </c>
      <c r="E6" s="48">
        <f>COUNTIFS('PRODUCTS AND SERVICES'!$A$4:$A$238,"Chief Human Capital Officer",'PRODUCTS AND SERVICES'!$F$4:$F$238,$B6&amp;"*")</f>
        <v>2</v>
      </c>
      <c r="F6" s="48">
        <f>COUNTIFS('PRODUCTS AND SERVICES'!$A$4:$A$238,"Chief Information Officer",'PRODUCTS AND SERVICES'!$F$4:$F$238,$B6&amp;"*")</f>
        <v>0</v>
      </c>
      <c r="G6" s="34">
        <f>COUNTIFS('PRODUCTS AND SERVICES'!$A$4:$A$238,"Chief Procurement Officer",'PRODUCTS AND SERVICES'!$F$4:$F$238,$B6&amp;"*")</f>
        <v>0</v>
      </c>
      <c r="H6" s="48">
        <f>COUNTIFS('PRODUCTS AND SERVICES'!$A$4:$A$238,"Community Planning and Development",'PRODUCTS AND SERVICES'!$F$4:$F$238,$B6&amp;"*")</f>
        <v>0</v>
      </c>
      <c r="I6" s="48">
        <f>COUNTIFS('PRODUCTS AND SERVICES'!$A$4:$A$238,"Departmental Equal Employment Opportunity",'PRODUCTS AND SERVICES'!$F$4:$F$238,$B6&amp;"*")</f>
        <v>0</v>
      </c>
      <c r="J6" s="48">
        <f>COUNTIFS('PRODUCTS AND SERVICES'!$A$4:$A$238,"Fair Housing and Equal Opportunity",'PRODUCTS AND SERVICES'!$F$4:$F$238,$B6&amp;"*")</f>
        <v>0</v>
      </c>
      <c r="K6" s="48">
        <f>COUNTIFS('PRODUCTS AND SERVICES'!$A$4:$A$238,"Field Policy and Management",'PRODUCTS AND SERVICES'!$F$4:$F$238,$B6&amp;"*")</f>
        <v>0</v>
      </c>
      <c r="L6" s="48">
        <f>COUNTIFS('PRODUCTS AND SERVICES'!$A$4:$A$238,"General Counsel",'PRODUCTS AND SERVICES'!$F$4:$F$238,$B6&amp;"*")</f>
        <v>0</v>
      </c>
      <c r="M6" s="48">
        <f>COUNTIFS('PRODUCTS AND SERVICES'!$A$4:$A$238,"Ginnie Mae",'PRODUCTS AND SERVICES'!$F$4:$F$238,$B6&amp;"*")</f>
        <v>0</v>
      </c>
      <c r="N6" s="48">
        <f>COUNTIFS('PRODUCTS AND SERVICES'!$A$4:$A$238,"Housing",'PRODUCTS AND SERVICES'!$F$4:$F$238,$B6&amp;"*")</f>
        <v>0</v>
      </c>
      <c r="O6" s="48">
        <f>COUNTIFS('PRODUCTS AND SERVICES'!$A$4:$A$238,"Lead Hazard Control and Healthy Homes",'PRODUCTS AND SERVICES'!$F$4:$F$238,$B6&amp;"*")</f>
        <v>0</v>
      </c>
      <c r="P6" s="48">
        <f>COUNTIFS('PRODUCTS AND SERVICES'!$A$4:$A$238,"Policy Development and Research",'PRODUCTS AND SERVICES'!$F$4:$F$238,$B6&amp;"*")</f>
        <v>0</v>
      </c>
      <c r="Q6" s="48">
        <f>COUNTIFS('PRODUCTS AND SERVICES'!$A$4:$A$238,"Public and Indian Housing",'PRODUCTS AND SERVICES'!$F$4:$F$238,$B6&amp;"*")</f>
        <v>0</v>
      </c>
      <c r="R6" s="48">
        <f>COUNTIFS('PRODUCTS AND SERVICES'!$A$4:$A$238,"Secretary",'PRODUCTS AND SERVICES'!$F$4:$F$238,$B6&amp;"*")</f>
        <v>0</v>
      </c>
      <c r="S6" s="49">
        <f t="shared" si="0"/>
        <v>2</v>
      </c>
      <c r="T6" s="50">
        <f t="shared" si="1"/>
        <v>8.5470085470085479E-3</v>
      </c>
    </row>
    <row r="7" spans="1:20" x14ac:dyDescent="0.3">
      <c r="A7" s="33" t="s">
        <v>816</v>
      </c>
      <c r="B7" s="61">
        <v>334111</v>
      </c>
      <c r="C7" s="48">
        <f>COUNTIFS('PRODUCTS AND SERVICES'!$A$4:$A$238,"Administration",'PRODUCTS AND SERVICES'!$F$4:$F$238,$B7&amp;"*")</f>
        <v>0</v>
      </c>
      <c r="D7" s="48">
        <f>COUNTIFS('PRODUCTS AND SERVICES'!$A$4:$A$238,"Chief Financial Officer",'PRODUCTS AND SERVICES'!$F$4:$F$238,$B7&amp;"*")</f>
        <v>0</v>
      </c>
      <c r="E7" s="48">
        <f>COUNTIFS('PRODUCTS AND SERVICES'!$A$4:$A$238,"Chief Human Capital Officer",'PRODUCTS AND SERVICES'!$F$4:$F$238,$B7&amp;"*")</f>
        <v>0</v>
      </c>
      <c r="F7" s="48">
        <f>COUNTIFS('PRODUCTS AND SERVICES'!$A$4:$A$238,"Chief Information Officer",'PRODUCTS AND SERVICES'!$F$4:$F$238,$B7&amp;"*")</f>
        <v>1</v>
      </c>
      <c r="G7" s="34">
        <f>COUNTIFS('PRODUCTS AND SERVICES'!$A$4:$A$238,"Chief Procurement Officer",'PRODUCTS AND SERVICES'!$F$4:$F$238,$B7&amp;"*")</f>
        <v>0</v>
      </c>
      <c r="H7" s="48">
        <f>COUNTIFS('PRODUCTS AND SERVICES'!$A$4:$A$238,"Community Planning and Development",'PRODUCTS AND SERVICES'!$F$4:$F$238,$B7&amp;"*")</f>
        <v>0</v>
      </c>
      <c r="I7" s="48">
        <f>COUNTIFS('PRODUCTS AND SERVICES'!$A$4:$A$238,"Departmental Equal Employment Opportunity",'PRODUCTS AND SERVICES'!$F$4:$F$238,$B7&amp;"*")</f>
        <v>0</v>
      </c>
      <c r="J7" s="48">
        <f>COUNTIFS('PRODUCTS AND SERVICES'!$A$4:$A$238,"Fair Housing and Equal Opportunity",'PRODUCTS AND SERVICES'!$F$4:$F$238,$B7&amp;"*")</f>
        <v>0</v>
      </c>
      <c r="K7" s="48">
        <f>COUNTIFS('PRODUCTS AND SERVICES'!$A$4:$A$238,"Field Policy and Management",'PRODUCTS AND SERVICES'!$F$4:$F$238,$B7&amp;"*")</f>
        <v>0</v>
      </c>
      <c r="L7" s="48">
        <f>COUNTIFS('PRODUCTS AND SERVICES'!$A$4:$A$238,"General Counsel",'PRODUCTS AND SERVICES'!$F$4:$F$238,$B7&amp;"*")</f>
        <v>0</v>
      </c>
      <c r="M7" s="48">
        <f>COUNTIFS('PRODUCTS AND SERVICES'!$A$4:$A$238,"Ginnie Mae",'PRODUCTS AND SERVICES'!$F$4:$F$238,$B7&amp;"*")</f>
        <v>0</v>
      </c>
      <c r="N7" s="48">
        <f>COUNTIFS('PRODUCTS AND SERVICES'!$A$4:$A$238,"Housing",'PRODUCTS AND SERVICES'!$F$4:$F$238,$B7&amp;"*")</f>
        <v>0</v>
      </c>
      <c r="O7" s="48">
        <f>COUNTIFS('PRODUCTS AND SERVICES'!$A$4:$A$238,"Lead Hazard Control and Healthy Homes",'PRODUCTS AND SERVICES'!$F$4:$F$238,$B7&amp;"*")</f>
        <v>0</v>
      </c>
      <c r="P7" s="48">
        <f>COUNTIFS('PRODUCTS AND SERVICES'!$A$4:$A$238,"Policy Development and Research",'PRODUCTS AND SERVICES'!$F$4:$F$238,$B7&amp;"*")</f>
        <v>0</v>
      </c>
      <c r="Q7" s="48">
        <f>COUNTIFS('PRODUCTS AND SERVICES'!$A$4:$A$238,"Public and Indian Housing",'PRODUCTS AND SERVICES'!$F$4:$F$238,$B7&amp;"*")</f>
        <v>0</v>
      </c>
      <c r="R7" s="48">
        <f>COUNTIFS('PRODUCTS AND SERVICES'!$A$4:$A$238,"Secretary",'PRODUCTS AND SERVICES'!$F$4:$F$238,$B7&amp;"*")</f>
        <v>0</v>
      </c>
      <c r="S7" s="49">
        <f t="shared" si="0"/>
        <v>1</v>
      </c>
      <c r="T7" s="50">
        <f t="shared" si="1"/>
        <v>4.2735042735042739E-3</v>
      </c>
    </row>
    <row r="8" spans="1:20" x14ac:dyDescent="0.3">
      <c r="A8" s="33" t="s">
        <v>817</v>
      </c>
      <c r="B8" s="47" t="s">
        <v>818</v>
      </c>
      <c r="C8" s="48">
        <f>COUNTIFS('PRODUCTS AND SERVICES'!$A$4:$A$237,"Administration",'PRODUCTS AND SERVICES'!$F$4:$F$237,$B8&amp;"*")</f>
        <v>1</v>
      </c>
      <c r="D8" s="48">
        <f>COUNTIFS('PRODUCTS AND SERVICES'!$A$4:$A$237,"Chief Financial Officer",'PRODUCTS AND SERVICES'!$F$4:$F$237,$B8&amp;"*")</f>
        <v>0</v>
      </c>
      <c r="E8" s="48">
        <f>COUNTIFS('PRODUCTS AND SERVICES'!$A$4:$A$237,"Chief Human Capital Officer",'PRODUCTS AND SERVICES'!$F$4:$F$237,$B8&amp;"*")</f>
        <v>0</v>
      </c>
      <c r="F8" s="48">
        <f>COUNTIFS('PRODUCTS AND SERVICES'!$A$4:$A$237,"Chief Information Officer",'PRODUCTS AND SERVICES'!$F$4:$F$237,$B8&amp;"*")</f>
        <v>0</v>
      </c>
      <c r="G8" s="63">
        <f>COUNTIFS('PRODUCTS AND SERVICES'!$A$4:$A$237,"Chief Procurement Officer",'PRODUCTS AND SERVICES'!$F$4:$F$237,$B8&amp;"*")</f>
        <v>0</v>
      </c>
      <c r="H8" s="48">
        <f>COUNTIFS('PRODUCTS AND SERVICES'!$A$4:$A$237,"Community Planning and Development",'PRODUCTS AND SERVICES'!$F$4:$F$237,$B8&amp;"*")</f>
        <v>0</v>
      </c>
      <c r="I8" s="48">
        <f>COUNTIFS('PRODUCTS AND SERVICES'!$A$4:$A$237,"Community Planning and Development",'PRODUCTS AND SERVICES'!$F$4:$F$237,$B8&amp;"*")</f>
        <v>0</v>
      </c>
      <c r="J8" s="48">
        <f>COUNTIFS('PRODUCTS AND SERVICES'!$A$4:$A$237,"Fair Housing and Equal Opportunity",'PRODUCTS AND SERVICES'!$F$4:$F$237,$B8&amp;"*")</f>
        <v>0</v>
      </c>
      <c r="K8" s="48">
        <f>COUNTIFS('PRODUCTS AND SERVICES'!$A$4:$A$237,"Field Policy &amp; Management",'PRODUCTS AND SERVICES'!$F$4:$F$237,$B8&amp;"*")</f>
        <v>0</v>
      </c>
      <c r="L8" s="48">
        <f>COUNTIFS('PRODUCTS AND SERVICES'!$A$4:$A$237,"General Counsel",'PRODUCTS AND SERVICES'!$F$4:$F$237,$B8&amp;"*")</f>
        <v>0</v>
      </c>
      <c r="M8" s="48">
        <f>COUNTIFS('PRODUCTS AND SERVICES'!$A$4:$A$237,"Ginnie Mae",'PRODUCTS AND SERVICES'!$F$4:$F$237,$B8&amp;"*")</f>
        <v>0</v>
      </c>
      <c r="N8" s="48">
        <f>COUNTIFS('PRODUCTS AND SERVICES'!$A$4:$A$237,"Housing",'PRODUCTS AND SERVICES'!$F$4:$F$237,$B8&amp;"*")</f>
        <v>0</v>
      </c>
      <c r="O8" s="48">
        <f>COUNTIFS('PRODUCTS AND SERVICES'!$A$4:$A$237,"Lead Hazard Control and Healthy Homes",'PRODUCTS AND SERVICES'!$F$4:$F$237,$B8&amp;"*")</f>
        <v>0</v>
      </c>
      <c r="P8" s="48">
        <f>COUNTIFS('PRODUCTS AND SERVICES'!$A$4:$A$237,"Policy Development and Research",'PRODUCTS AND SERVICES'!$F$4:$F$237,$B8&amp;"*")</f>
        <v>0</v>
      </c>
      <c r="Q8" s="48">
        <f>COUNTIFS('PRODUCTS AND SERVICES'!$A$4:$A$237,"Public and Indian Housing",'PRODUCTS AND SERVICES'!$F$4:$F$237,$B8&amp;"*")</f>
        <v>0</v>
      </c>
      <c r="R8" s="48">
        <f>COUNTIFS('PRODUCTS AND SERVICES'!$A$4:$A$237,"Secretary",'PRODUCTS AND SERVICES'!$F$4:$F$237,$B8&amp;"*")</f>
        <v>0</v>
      </c>
      <c r="S8" s="49">
        <f>SUM(C8:R8)</f>
        <v>1</v>
      </c>
      <c r="T8" s="50">
        <f t="shared" si="1"/>
        <v>4.2735042735042739E-3</v>
      </c>
    </row>
    <row r="9" spans="1:20" ht="27.6" x14ac:dyDescent="0.3">
      <c r="A9" s="33" t="s">
        <v>819</v>
      </c>
      <c r="B9" s="47" t="s">
        <v>820</v>
      </c>
      <c r="C9" s="48">
        <f>COUNTIFS('PRODUCTS AND SERVICES'!$A$4:$A$237,"Administration",'PRODUCTS AND SERVICES'!$F$4:$F$237,$B9&amp;"*")</f>
        <v>0</v>
      </c>
      <c r="D9" s="48">
        <f>COUNTIFS('PRODUCTS AND SERVICES'!$A$4:$A$237,"Chief Financial Officer",'PRODUCTS AND SERVICES'!$F$4:$F$237,$B9&amp;"*")</f>
        <v>0</v>
      </c>
      <c r="E9" s="48">
        <f>COUNTIFS('PRODUCTS AND SERVICES'!$A$4:$A$237,"Chief Human Capital Officer",'PRODUCTS AND SERVICES'!$F$4:$F$237,$B9&amp;"*")</f>
        <v>0</v>
      </c>
      <c r="F9" s="48">
        <f>COUNTIFS('PRODUCTS AND SERVICES'!$A$4:$A$237,"Chief Information Officer",'PRODUCTS AND SERVICES'!$F$4:$F$237,$B9&amp;"*")</f>
        <v>2</v>
      </c>
      <c r="G9" s="63">
        <f>COUNTIFS('PRODUCTS AND SERVICES'!$A$4:$A$237,"Chief Procurement Officer",'PRODUCTS AND SERVICES'!$F$4:$F$237,$B9&amp;"*")</f>
        <v>0</v>
      </c>
      <c r="H9" s="48">
        <f>COUNTIFS('PRODUCTS AND SERVICES'!$A$4:$A$237,"Community Planning and Development",'PRODUCTS AND SERVICES'!$F$4:$F$237,$B9&amp;"*")</f>
        <v>0</v>
      </c>
      <c r="I9" s="48">
        <f>COUNTIFS('PRODUCTS AND SERVICES'!$A$4:$A$237,"Community Planning and Development",'PRODUCTS AND SERVICES'!$F$4:$F$237,$B9&amp;"*")</f>
        <v>0</v>
      </c>
      <c r="J9" s="48">
        <f>COUNTIFS('PRODUCTS AND SERVICES'!$A$4:$A$237,"Fair Housing and Equal Opportunity",'PRODUCTS AND SERVICES'!$F$4:$F$237,$B9&amp;"*")</f>
        <v>0</v>
      </c>
      <c r="K9" s="48">
        <f>COUNTIFS('PRODUCTS AND SERVICES'!$A$4:$A$237,"Field Policy &amp; Management",'PRODUCTS AND SERVICES'!$F$4:$F$237,$B9&amp;"*")</f>
        <v>0</v>
      </c>
      <c r="L9" s="48">
        <f>COUNTIFS('PRODUCTS AND SERVICES'!$A$4:$A$237,"General Counsel",'PRODUCTS AND SERVICES'!$F$4:$F$237,$B9&amp;"*")</f>
        <v>0</v>
      </c>
      <c r="M9" s="48">
        <f>COUNTIFS('PRODUCTS AND SERVICES'!$A$4:$A$237,"Ginnie Mae",'PRODUCTS AND SERVICES'!$F$4:$F$237,$B9&amp;"*")</f>
        <v>0</v>
      </c>
      <c r="N9" s="48">
        <f>COUNTIFS('PRODUCTS AND SERVICES'!$A$4:$A$237,"Housing",'PRODUCTS AND SERVICES'!$F$4:$F$237,$B9&amp;"*")</f>
        <v>0</v>
      </c>
      <c r="O9" s="48">
        <f>COUNTIFS('PRODUCTS AND SERVICES'!$A$4:$A$237,"Lead Hazard Control and Healthy Homes",'PRODUCTS AND SERVICES'!$F$4:$F$237,$B9&amp;"*")</f>
        <v>0</v>
      </c>
      <c r="P9" s="48">
        <f>COUNTIFS('PRODUCTS AND SERVICES'!$A$4:$A$237,"Policy Development and Research",'PRODUCTS AND SERVICES'!$F$4:$F$237,$B9&amp;"*")</f>
        <v>0</v>
      </c>
      <c r="Q9" s="48">
        <f>COUNTIFS('PRODUCTS AND SERVICES'!$A$4:$A$237,"Public and Indian Housing",'PRODUCTS AND SERVICES'!$F$4:$F$237,$B9&amp;"*")</f>
        <v>0</v>
      </c>
      <c r="R9" s="48">
        <f>COUNTIFS('PRODUCTS AND SERVICES'!$A$4:$A$237,"Secretary",'PRODUCTS AND SERVICES'!$F$4:$F$237,$B9&amp;"*")</f>
        <v>0</v>
      </c>
      <c r="S9" s="49">
        <f t="shared" ref="S9:S13" si="2">SUM(C9:R9)</f>
        <v>2</v>
      </c>
      <c r="T9" s="50">
        <f t="shared" si="1"/>
        <v>8.5470085470085479E-3</v>
      </c>
    </row>
    <row r="10" spans="1:20" x14ac:dyDescent="0.3">
      <c r="A10" s="33" t="s">
        <v>848</v>
      </c>
      <c r="B10" s="47" t="s">
        <v>849</v>
      </c>
      <c r="C10" s="48">
        <f>COUNTIFS('PRODUCTS AND SERVICES'!$A$4:$A$237,"Administration",'PRODUCTS AND SERVICES'!$F$4:$F$237,$B10&amp;"*")</f>
        <v>1</v>
      </c>
      <c r="D10" s="48">
        <f>COUNTIFS('PRODUCTS AND SERVICES'!$A$4:$A$237,"Chief Financial Officer",'PRODUCTS AND SERVICES'!$F$4:$F$237,$B10&amp;"*")</f>
        <v>0</v>
      </c>
      <c r="E10" s="48">
        <f>COUNTIFS('PRODUCTS AND SERVICES'!$A$4:$A$237,"Chief Human Capital Officer",'PRODUCTS AND SERVICES'!$F$4:$F$237,$B10&amp;"*")</f>
        <v>0</v>
      </c>
      <c r="F10" s="48">
        <f>COUNTIFS('PRODUCTS AND SERVICES'!$A$4:$A$237,"Chief Information Officer",'PRODUCTS AND SERVICES'!$F$4:$F$237,$B10&amp;"*")</f>
        <v>0</v>
      </c>
      <c r="G10" s="63">
        <f>COUNTIFS('PRODUCTS AND SERVICES'!$A$4:$A$237,"Chief Procurement Officer",'PRODUCTS AND SERVICES'!$F$4:$F$237,$B10&amp;"*")</f>
        <v>0</v>
      </c>
      <c r="H10" s="48">
        <f>COUNTIFS('PRODUCTS AND SERVICES'!$A$4:$A$237,"Community Planning and Development",'PRODUCTS AND SERVICES'!$F$4:$F$237,$B10&amp;"*")</f>
        <v>0</v>
      </c>
      <c r="I10" s="48">
        <f>COUNTIFS('PRODUCTS AND SERVICES'!$A$4:$A$237,"Community Planning and Development",'PRODUCTS AND SERVICES'!$F$4:$F$237,$B10&amp;"*")</f>
        <v>0</v>
      </c>
      <c r="J10" s="48">
        <f>COUNTIFS('PRODUCTS AND SERVICES'!$A$4:$A$237,"Fair Housing and Equal Opportunity",'PRODUCTS AND SERVICES'!$F$4:$F$237,$B10&amp;"*")</f>
        <v>0</v>
      </c>
      <c r="K10" s="48">
        <f>COUNTIFS('PRODUCTS AND SERVICES'!$A$4:$A$237,"Field Policy &amp; Management",'PRODUCTS AND SERVICES'!$F$4:$F$237,$B10&amp;"*")</f>
        <v>0</v>
      </c>
      <c r="L10" s="48">
        <f>COUNTIFS('PRODUCTS AND SERVICES'!$A$4:$A$237,"General Counsel",'PRODUCTS AND SERVICES'!$F$4:$F$237,$B10&amp;"*")</f>
        <v>0</v>
      </c>
      <c r="M10" s="48">
        <f>COUNTIFS('PRODUCTS AND SERVICES'!$A$4:$A$237,"Ginnie Mae",'PRODUCTS AND SERVICES'!$F$4:$F$237,$B10&amp;"*")</f>
        <v>0</v>
      </c>
      <c r="N10" s="48">
        <f>COUNTIFS('PRODUCTS AND SERVICES'!$A$4:$A$237,"Housing",'PRODUCTS AND SERVICES'!$F$4:$F$237,$B10&amp;"*")</f>
        <v>0</v>
      </c>
      <c r="O10" s="48">
        <f>COUNTIFS('PRODUCTS AND SERVICES'!$A$4:$A$237,"Lead Hazard Control and Healthy Homes",'PRODUCTS AND SERVICES'!$F$4:$F$237,$B10&amp;"*")</f>
        <v>0</v>
      </c>
      <c r="P10" s="48">
        <f>COUNTIFS('PRODUCTS AND SERVICES'!$A$4:$A$237,"Policy Development and Research",'PRODUCTS AND SERVICES'!$F$4:$F$237,$B10&amp;"*")</f>
        <v>0</v>
      </c>
      <c r="Q10" s="48">
        <f>COUNTIFS('PRODUCTS AND SERVICES'!$A$4:$A$237,"Public and Indian Housing",'PRODUCTS AND SERVICES'!$F$4:$F$237,$B10&amp;"*")</f>
        <v>0</v>
      </c>
      <c r="R10" s="48">
        <f>COUNTIFS('PRODUCTS AND SERVICES'!$A$4:$A$237,"Secretary",'PRODUCTS AND SERVICES'!$F$4:$F$237,$B10&amp;"*")</f>
        <v>0</v>
      </c>
      <c r="S10" s="49">
        <f>SUM(C10:R10)</f>
        <v>1</v>
      </c>
      <c r="T10" s="50">
        <f t="shared" si="1"/>
        <v>4.2735042735042739E-3</v>
      </c>
    </row>
    <row r="11" spans="1:20" x14ac:dyDescent="0.3">
      <c r="A11" s="33" t="s">
        <v>821</v>
      </c>
      <c r="B11" s="47" t="s">
        <v>655</v>
      </c>
      <c r="C11" s="48">
        <f>COUNTIFS('PRODUCTS AND SERVICES'!$A$4:$A$237,"Administration",'PRODUCTS AND SERVICES'!$F$4:$F$237,$B11&amp;"*")</f>
        <v>1</v>
      </c>
      <c r="D11" s="48">
        <f>COUNTIFS('PRODUCTS AND SERVICES'!$A$4:$A$237,"Chief Financial Officer",'PRODUCTS AND SERVICES'!$F$4:$F$237,$B11&amp;"*")</f>
        <v>0</v>
      </c>
      <c r="E11" s="48">
        <f>COUNTIFS('PRODUCTS AND SERVICES'!$A$4:$A$237,"Chief Human Capital Officer",'PRODUCTS AND SERVICES'!$F$4:$F$237,$B11&amp;"*")</f>
        <v>0</v>
      </c>
      <c r="F11" s="48">
        <f>COUNTIFS('PRODUCTS AND SERVICES'!$A$4:$A$237,"Chief Information Officer",'PRODUCTS AND SERVICES'!$F$4:$F$237,$B11&amp;"*")</f>
        <v>0</v>
      </c>
      <c r="G11" s="63">
        <f>COUNTIFS('PRODUCTS AND SERVICES'!$A$4:$A$237,"Chief Procurement Officer",'PRODUCTS AND SERVICES'!$F$4:$F$237,$B11&amp;"*")</f>
        <v>0</v>
      </c>
      <c r="H11" s="48">
        <f>COUNTIFS('PRODUCTS AND SERVICES'!$A$4:$A$237,"Community Planning and Development",'PRODUCTS AND SERVICES'!$F$4:$F$237,$B11&amp;"*")</f>
        <v>0</v>
      </c>
      <c r="I11" s="48">
        <f>COUNTIFS('PRODUCTS AND SERVICES'!$A$4:$A$237,"Community Planning and Development",'PRODUCTS AND SERVICES'!$F$4:$F$237,$B11&amp;"*")</f>
        <v>0</v>
      </c>
      <c r="J11" s="48">
        <f>COUNTIFS('PRODUCTS AND SERVICES'!$A$4:$A$237,"Fair Housing and Equal Opportunity",'PRODUCTS AND SERVICES'!$F$4:$F$237,$B11&amp;"*")</f>
        <v>0</v>
      </c>
      <c r="K11" s="48">
        <f>COUNTIFS('PRODUCTS AND SERVICES'!$A$4:$A$237,"Field Policy &amp; Management",'PRODUCTS AND SERVICES'!$F$4:$F$237,$B11&amp;"*")</f>
        <v>0</v>
      </c>
      <c r="L11" s="48">
        <f>COUNTIFS('PRODUCTS AND SERVICES'!$A$4:$A$237,"General Counsel",'PRODUCTS AND SERVICES'!$F$4:$F$237,$B11&amp;"*")</f>
        <v>0</v>
      </c>
      <c r="M11" s="48">
        <f>COUNTIFS('PRODUCTS AND SERVICES'!$A$4:$A$237,"Ginnie Mae",'PRODUCTS AND SERVICES'!$F$4:$F$237,$B11&amp;"*")</f>
        <v>0</v>
      </c>
      <c r="N11" s="48">
        <f>COUNTIFS('PRODUCTS AND SERVICES'!$A$4:$A$237,"Housing",'PRODUCTS AND SERVICES'!$F$4:$F$237,$B11&amp;"*")</f>
        <v>0</v>
      </c>
      <c r="O11" s="48">
        <f>COUNTIFS('PRODUCTS AND SERVICES'!$A$4:$A$237,"Lead Hazard Control and Healthy Homes",'PRODUCTS AND SERVICES'!$F$4:$F$237,$B11&amp;"*")</f>
        <v>0</v>
      </c>
      <c r="P11" s="48">
        <f>COUNTIFS('PRODUCTS AND SERVICES'!$A$4:$A$237,"Policy Development and Research",'PRODUCTS AND SERVICES'!$F$4:$F$237,$B11&amp;"*")</f>
        <v>0</v>
      </c>
      <c r="Q11" s="48">
        <f>COUNTIFS('PRODUCTS AND SERVICES'!$A$4:$A$237,"Public and Indian Housing",'PRODUCTS AND SERVICES'!$F$4:$F$237,$B11&amp;"*")</f>
        <v>0</v>
      </c>
      <c r="R11" s="48">
        <f>COUNTIFS('PRODUCTS AND SERVICES'!$A$4:$A$237,"Secretary",'PRODUCTS AND SERVICES'!$F$4:$F$237,$B11&amp;"*")</f>
        <v>0</v>
      </c>
      <c r="S11" s="49">
        <f t="shared" si="2"/>
        <v>1</v>
      </c>
      <c r="T11" s="50">
        <f t="shared" si="1"/>
        <v>4.2735042735042739E-3</v>
      </c>
    </row>
    <row r="12" spans="1:20" x14ac:dyDescent="0.3">
      <c r="A12" s="33" t="s">
        <v>825</v>
      </c>
      <c r="B12" s="47" t="s">
        <v>731</v>
      </c>
      <c r="C12" s="48">
        <f>COUNTIFS('PRODUCTS AND SERVICES'!$A$4:$A$237,"Administration",'PRODUCTS AND SERVICES'!$F$4:$F$237,$B12&amp;"*")</f>
        <v>0</v>
      </c>
      <c r="D12" s="48">
        <f>COUNTIFS('PRODUCTS AND SERVICES'!$A$4:$A$237,"Chief Financial Officer",'PRODUCTS AND SERVICES'!$F$4:$F$237,$B12&amp;"*")</f>
        <v>0</v>
      </c>
      <c r="E12" s="48">
        <f>COUNTIFS('PRODUCTS AND SERVICES'!$A$4:$A$237,"Chief Human Capital Officer",'PRODUCTS AND SERVICES'!$F$4:$F$237,$B12&amp;"*")</f>
        <v>0</v>
      </c>
      <c r="F12" s="48">
        <f>COUNTIFS('PRODUCTS AND SERVICES'!$A$4:$A$237,"Chief Information Officer",'PRODUCTS AND SERVICES'!$F$4:$F$237,$B12&amp;"*")</f>
        <v>0</v>
      </c>
      <c r="G12" s="63">
        <f>COUNTIFS('PRODUCTS AND SERVICES'!$A$4:$A$237,"Chief Procurement Officer",'PRODUCTS AND SERVICES'!$F$4:$F$237,$B12&amp;"*")</f>
        <v>0</v>
      </c>
      <c r="H12" s="48">
        <f>COUNTIFS('PRODUCTS AND SERVICES'!$A$4:$A$237,"Community Planning and Development",'PRODUCTS AND SERVICES'!$F$4:$F$237,$B12&amp;"*")</f>
        <v>0</v>
      </c>
      <c r="I12" s="48">
        <f>COUNTIFS('PRODUCTS AND SERVICES'!$A$4:$A$237,"Community Planning and Development",'PRODUCTS AND SERVICES'!$F$4:$F$237,$B12&amp;"*")</f>
        <v>0</v>
      </c>
      <c r="J12" s="48">
        <f>COUNTIFS('PRODUCTS AND SERVICES'!$A$4:$A$237,"Fair Housing and Equal Opportunity",'PRODUCTS AND SERVICES'!$F$4:$F$237,$B12&amp;"*")</f>
        <v>0</v>
      </c>
      <c r="K12" s="48">
        <f>COUNTIFS('PRODUCTS AND SERVICES'!$A$4:$A$237,"Field Policy &amp; Management",'PRODUCTS AND SERVICES'!$F$4:$F$237,$B12&amp;"*")</f>
        <v>0</v>
      </c>
      <c r="L12" s="48">
        <f>COUNTIFS('PRODUCTS AND SERVICES'!$A$4:$A$237,"General Counsel",'PRODUCTS AND SERVICES'!$F$4:$F$237,$B12&amp;"*")</f>
        <v>0</v>
      </c>
      <c r="M12" s="48">
        <f>COUNTIFS('PRODUCTS AND SERVICES'!$A$4:$A$237,"Ginnie Mae",'PRODUCTS AND SERVICES'!$F$4:$F$237,$B12&amp;"*")</f>
        <v>0</v>
      </c>
      <c r="N12" s="48">
        <f>COUNTIFS('PRODUCTS AND SERVICES'!$A$4:$A$237,"Housing",'PRODUCTS AND SERVICES'!$F$4:$F$237,$B12&amp;"*")</f>
        <v>1</v>
      </c>
      <c r="O12" s="48">
        <f>COUNTIFS('PRODUCTS AND SERVICES'!$A$4:$A$237,"Lead Hazard Control and Healthy Homes",'PRODUCTS AND SERVICES'!$F$4:$F$237,$B12&amp;"*")</f>
        <v>0</v>
      </c>
      <c r="P12" s="48">
        <f>COUNTIFS('PRODUCTS AND SERVICES'!$A$4:$A$237,"Policy Development and Research",'PRODUCTS AND SERVICES'!$F$4:$F$237,$B12&amp;"*")</f>
        <v>0</v>
      </c>
      <c r="Q12" s="48">
        <f>COUNTIFS('PRODUCTS AND SERVICES'!$A$4:$A$237,"Public and Indian Housing",'PRODUCTS AND SERVICES'!$F$4:$F$237,$B12&amp;"*")</f>
        <v>0</v>
      </c>
      <c r="R12" s="48">
        <f>COUNTIFS('PRODUCTS AND SERVICES'!$A$4:$A$237,"Secretary",'PRODUCTS AND SERVICES'!$F$4:$F$237,$B12&amp;"*")</f>
        <v>0</v>
      </c>
      <c r="S12" s="49">
        <f>SUM(C12:R12)</f>
        <v>1</v>
      </c>
      <c r="T12" s="50">
        <f t="shared" si="1"/>
        <v>4.2735042735042739E-3</v>
      </c>
    </row>
    <row r="13" spans="1:20" x14ac:dyDescent="0.3">
      <c r="A13" s="33" t="s">
        <v>822</v>
      </c>
      <c r="B13" s="47" t="s">
        <v>823</v>
      </c>
      <c r="C13" s="48">
        <f>COUNTIFS('PRODUCTS AND SERVICES'!$A$4:$A$237,"Administration",'PRODUCTS AND SERVICES'!$F$4:$F$237,$B13&amp;"*")</f>
        <v>0</v>
      </c>
      <c r="D13" s="48">
        <f>COUNTIFS('PRODUCTS AND SERVICES'!$A$4:$A$237,"Chief Financial Officer",'PRODUCTS AND SERVICES'!$F$4:$F$237,$B13&amp;"*")</f>
        <v>0</v>
      </c>
      <c r="E13" s="48">
        <f>COUNTIFS('PRODUCTS AND SERVICES'!$A$4:$A$237,"Chief Human Capital Officer",'PRODUCTS AND SERVICES'!$F$4:$F$237,$B13&amp;"*")</f>
        <v>0</v>
      </c>
      <c r="F13" s="48">
        <f>COUNTIFS('PRODUCTS AND SERVICES'!$A$4:$A$237,"Chief Information Officer",'PRODUCTS AND SERVICES'!$F$4:$F$237,$B13&amp;"*")</f>
        <v>0</v>
      </c>
      <c r="G13" s="63">
        <f>COUNTIFS('PRODUCTS AND SERVICES'!$A$4:$A$237,"Chief Procurement Officer",'PRODUCTS AND SERVICES'!$F$4:$F$237,$B13&amp;"*")</f>
        <v>0</v>
      </c>
      <c r="H13" s="48">
        <f>COUNTIFS('PRODUCTS AND SERVICES'!$A$4:$A$237,"Community Planning and Development",'PRODUCTS AND SERVICES'!$F$4:$F$237,$B13&amp;"*")</f>
        <v>0</v>
      </c>
      <c r="I13" s="48">
        <f>COUNTIFS('PRODUCTS AND SERVICES'!$A$4:$A$237,"Community Planning and Development",'PRODUCTS AND SERVICES'!$F$4:$F$237,$B13&amp;"*")</f>
        <v>0</v>
      </c>
      <c r="J13" s="48">
        <f>COUNTIFS('PRODUCTS AND SERVICES'!$A$4:$A$237,"Fair Housing and Equal Opportunity",'PRODUCTS AND SERVICES'!$F$4:$F$237,$B13&amp;"*")</f>
        <v>0</v>
      </c>
      <c r="K13" s="48">
        <f>COUNTIFS('PRODUCTS AND SERVICES'!$A$4:$A$237,"Field Policy &amp; Management",'PRODUCTS AND SERVICES'!$F$4:$F$237,$B13&amp;"*")</f>
        <v>0</v>
      </c>
      <c r="L13" s="48">
        <f>COUNTIFS('PRODUCTS AND SERVICES'!$A$4:$A$237,"General Counsel",'PRODUCTS AND SERVICES'!$F$4:$F$237,$B13&amp;"*")</f>
        <v>0</v>
      </c>
      <c r="M13" s="48">
        <f>COUNTIFS('PRODUCTS AND SERVICES'!$A$4:$A$237,"Ginnie Mae",'PRODUCTS AND SERVICES'!$F$4:$F$237,$B13&amp;"*")</f>
        <v>0</v>
      </c>
      <c r="N13" s="48">
        <f>COUNTIFS('PRODUCTS AND SERVICES'!$A$4:$A$237,"Housing",'PRODUCTS AND SERVICES'!$F$4:$F$237,$B13&amp;"*")</f>
        <v>0</v>
      </c>
      <c r="O13" s="48">
        <f>COUNTIFS('PRODUCTS AND SERVICES'!$A$4:$A$237,"Lead Hazard Control and Healthy Homes",'PRODUCTS AND SERVICES'!$F$4:$F$237,$B13&amp;"*")</f>
        <v>0</v>
      </c>
      <c r="P13" s="48">
        <f>COUNTIFS('PRODUCTS AND SERVICES'!$A$4:$A$237,"Policy Development and Research",'PRODUCTS AND SERVICES'!$F$4:$F$237,$B13&amp;"*")</f>
        <v>0</v>
      </c>
      <c r="Q13" s="48">
        <f>COUNTIFS('PRODUCTS AND SERVICES'!$A$4:$A$237,"Public and Indian Housing",'PRODUCTS AND SERVICES'!$F$4:$F$237,$B13&amp;"*")</f>
        <v>0</v>
      </c>
      <c r="R13" s="48">
        <f>COUNTIFS('PRODUCTS AND SERVICES'!$A$4:$A$237,"Secretary",'PRODUCTS AND SERVICES'!$F$4:$F$237,$B13&amp;"*")</f>
        <v>0</v>
      </c>
      <c r="S13" s="49">
        <f t="shared" si="2"/>
        <v>0</v>
      </c>
      <c r="T13" s="50">
        <f t="shared" si="1"/>
        <v>0</v>
      </c>
    </row>
    <row r="14" spans="1:20" x14ac:dyDescent="0.3">
      <c r="A14" s="33" t="s">
        <v>824</v>
      </c>
      <c r="B14" s="61">
        <v>513210</v>
      </c>
      <c r="C14" s="48">
        <f>COUNTIFS('PRODUCTS AND SERVICES'!$A$4:$A$238,"Administration",'PRODUCTS AND SERVICES'!$F$4:$F$238,$B14&amp;"*")</f>
        <v>1</v>
      </c>
      <c r="D14" s="48">
        <f>COUNTIFS('PRODUCTS AND SERVICES'!$A$4:$A$238,"Chief Financial Officer",'PRODUCTS AND SERVICES'!$F$4:$F$238,$B14&amp;"*")</f>
        <v>0</v>
      </c>
      <c r="E14" s="48">
        <f>COUNTIFS('PRODUCTS AND SERVICES'!$A$4:$A$238,"Chief Human Capital Officer",'PRODUCTS AND SERVICES'!$F$4:$F$238,$B14&amp;"*")</f>
        <v>2</v>
      </c>
      <c r="F14" s="48">
        <f>COUNTIFS('PRODUCTS AND SERVICES'!$A$4:$A$238,"Chief Information Officer",'PRODUCTS AND SERVICES'!$F$4:$F$238,$B14&amp;"*")</f>
        <v>1</v>
      </c>
      <c r="G14" s="34">
        <f>COUNTIFS('PRODUCTS AND SERVICES'!$A$4:$A$238,"Chief Procurement Officer",'PRODUCTS AND SERVICES'!$F$4:$F$238,$B14&amp;"*")</f>
        <v>0</v>
      </c>
      <c r="H14" s="48">
        <f>COUNTIFS('PRODUCTS AND SERVICES'!$A$4:$A$238,"Community Planning and Development",'PRODUCTS AND SERVICES'!$F$4:$F$238,$B14&amp;"*")</f>
        <v>0</v>
      </c>
      <c r="I14" s="48">
        <f>COUNTIFS('PRODUCTS AND SERVICES'!$A$4:$A$238,"Departmental Equal Employment Opportunity",'PRODUCTS AND SERVICES'!$F$4:$F$238,$B14&amp;"*")</f>
        <v>0</v>
      </c>
      <c r="J14" s="48">
        <f>COUNTIFS('PRODUCTS AND SERVICES'!$A$4:$A$238,"Fair Housing and Equal Opportunity",'PRODUCTS AND SERVICES'!$F$4:$F$238,$B14&amp;"*")</f>
        <v>0</v>
      </c>
      <c r="K14" s="48">
        <f>COUNTIFS('PRODUCTS AND SERVICES'!$A$4:$A$238,"Field Policy and Management",'PRODUCTS AND SERVICES'!$F$4:$F$238,$B14&amp;"*")</f>
        <v>0</v>
      </c>
      <c r="L14" s="48">
        <f>COUNTIFS('PRODUCTS AND SERVICES'!$A$4:$A$238,"General Counsel",'PRODUCTS AND SERVICES'!$F$4:$F$238,$B14&amp;"*")</f>
        <v>0</v>
      </c>
      <c r="M14" s="48">
        <f>COUNTIFS('PRODUCTS AND SERVICES'!$A$4:$A$238,"Ginnie Mae",'PRODUCTS AND SERVICES'!$F$4:$F$238,$B14&amp;"*")</f>
        <v>0</v>
      </c>
      <c r="N14" s="48">
        <f>COUNTIFS('PRODUCTS AND SERVICES'!$A$4:$A$238,"Housing",'PRODUCTS AND SERVICES'!$F$4:$F$238,$B14&amp;"*")</f>
        <v>0</v>
      </c>
      <c r="O14" s="48">
        <f>COUNTIFS('PRODUCTS AND SERVICES'!$A$4:$A$238,"Lead Hazard Control and Healthy Homes",'PRODUCTS AND SERVICES'!$F$4:$F$238,$B14&amp;"*")</f>
        <v>0</v>
      </c>
      <c r="P14" s="48">
        <f>COUNTIFS('PRODUCTS AND SERVICES'!$A$4:$A$238,"Policy Development and Research",'PRODUCTS AND SERVICES'!$F$4:$F$238,$B14&amp;"*")</f>
        <v>0</v>
      </c>
      <c r="Q14" s="48">
        <f>COUNTIFS('PRODUCTS AND SERVICES'!$A$4:$A$238,"Public and Indian Housing",'PRODUCTS AND SERVICES'!$F$4:$F$238,$B14&amp;"*")</f>
        <v>0</v>
      </c>
      <c r="R14" s="48">
        <f>COUNTIFS('PRODUCTS AND SERVICES'!$A$4:$A$238,"Secretary",'PRODUCTS AND SERVICES'!$F$4:$F$238,$B14&amp;"*")</f>
        <v>0</v>
      </c>
      <c r="S14" s="49">
        <f t="shared" si="0"/>
        <v>4</v>
      </c>
      <c r="T14" s="82">
        <f t="shared" si="1"/>
        <v>1.7094017094017096E-2</v>
      </c>
    </row>
    <row r="15" spans="1:20" x14ac:dyDescent="0.3">
      <c r="A15" s="33" t="s">
        <v>828</v>
      </c>
      <c r="B15" s="47" t="s">
        <v>827</v>
      </c>
      <c r="C15" s="48">
        <f>COUNTIFS('PRODUCTS AND SERVICES'!$A$4:$A$237,"Administration",'PRODUCTS AND SERVICES'!$F$4:$F$237,$B15&amp;"*")</f>
        <v>2</v>
      </c>
      <c r="D15" s="48">
        <f>COUNTIFS('PRODUCTS AND SERVICES'!$A$4:$A$237,"Chief Financial Officer",'PRODUCTS AND SERVICES'!$F$4:$F$237,$B15&amp;"*")</f>
        <v>0</v>
      </c>
      <c r="E15" s="48">
        <f>COUNTIFS('PRODUCTS AND SERVICES'!$A$4:$A$237,"Chief Human Capital Officer",'PRODUCTS AND SERVICES'!$F$4:$F$237,$B15&amp;"*")</f>
        <v>0</v>
      </c>
      <c r="F15" s="48">
        <f>COUNTIFS('PRODUCTS AND SERVICES'!$A$4:$A$237,"Chief Information Officer",'PRODUCTS AND SERVICES'!$F$4:$F$237,$B15&amp;"*")</f>
        <v>0</v>
      </c>
      <c r="G15" s="63">
        <f>COUNTIFS('PRODUCTS AND SERVICES'!$A$4:$A$237,"Chief Procurement Officer",'PRODUCTS AND SERVICES'!$F$4:$F$237,$B15&amp;"*")</f>
        <v>0</v>
      </c>
      <c r="H15" s="48">
        <f>COUNTIFS('PRODUCTS AND SERVICES'!$A$4:$A$237,"Community Planning and Development",'PRODUCTS AND SERVICES'!$F$4:$F$237,$B15&amp;"*")</f>
        <v>0</v>
      </c>
      <c r="I15" s="48">
        <f>COUNTIFS('PRODUCTS AND SERVICES'!$A$4:$A$237,"Community Planning and Development",'PRODUCTS AND SERVICES'!$F$4:$F$237,$B15&amp;"*")</f>
        <v>0</v>
      </c>
      <c r="J15" s="48">
        <f>COUNTIFS('PRODUCTS AND SERVICES'!$A$4:$A$237,"Fair Housing and Equal Opportunity",'PRODUCTS AND SERVICES'!$F$4:$F$237,$B15&amp;"*")</f>
        <v>0</v>
      </c>
      <c r="K15" s="48">
        <f>COUNTIFS('PRODUCTS AND SERVICES'!$A$4:$A$237,"Field Policy &amp; Management",'PRODUCTS AND SERVICES'!$F$4:$F$237,$B15&amp;"*")</f>
        <v>0</v>
      </c>
      <c r="L15" s="48">
        <f>COUNTIFS('PRODUCTS AND SERVICES'!$A$4:$A$237,"General Counsel",'PRODUCTS AND SERVICES'!$F$4:$F$237,$B15&amp;"*")</f>
        <v>0</v>
      </c>
      <c r="M15" s="48">
        <f>COUNTIFS('PRODUCTS AND SERVICES'!$A$4:$A$237,"Ginnie Mae",'PRODUCTS AND SERVICES'!$F$4:$F$237,$B15&amp;"*")</f>
        <v>0</v>
      </c>
      <c r="N15" s="48">
        <f>COUNTIFS('PRODUCTS AND SERVICES'!$A$4:$A$237,"Housing",'PRODUCTS AND SERVICES'!$F$4:$F$237,$B15&amp;"*")</f>
        <v>0</v>
      </c>
      <c r="O15" s="48">
        <f>COUNTIFS('PRODUCTS AND SERVICES'!$A$4:$A$237,"Lead Hazard Control and Healthy Homes",'PRODUCTS AND SERVICES'!$F$4:$F$237,$B15&amp;"*")</f>
        <v>0</v>
      </c>
      <c r="P15" s="48">
        <f>COUNTIFS('PRODUCTS AND SERVICES'!$A$4:$A$237,"Policy Development and Research",'PRODUCTS AND SERVICES'!$F$4:$F$237,$B15&amp;"*")</f>
        <v>0</v>
      </c>
      <c r="Q15" s="48">
        <f>COUNTIFS('PRODUCTS AND SERVICES'!$A$4:$A$237,"Public and Indian Housing",'PRODUCTS AND SERVICES'!$F$4:$F$237,$B15&amp;"*")</f>
        <v>0</v>
      </c>
      <c r="R15" s="48">
        <f>COUNTIFS('PRODUCTS AND SERVICES'!$A$4:$A$237,"Secretary",'PRODUCTS AND SERVICES'!$F$4:$F$237,$B15&amp;"*")</f>
        <v>0</v>
      </c>
      <c r="S15" s="49">
        <f>SUM(C15:R15)</f>
        <v>2</v>
      </c>
      <c r="T15" s="82">
        <f t="shared" si="1"/>
        <v>8.5470085470085479E-3</v>
      </c>
    </row>
    <row r="16" spans="1:20" x14ac:dyDescent="0.3">
      <c r="A16" s="33" t="s">
        <v>826</v>
      </c>
      <c r="B16" s="47" t="s">
        <v>297</v>
      </c>
      <c r="C16" s="48">
        <f>COUNTIFS('PRODUCTS AND SERVICES'!$A$4:$A$237,"Administration",'PRODUCTS AND SERVICES'!$F$4:$F$237,$B16&amp;"*")</f>
        <v>2</v>
      </c>
      <c r="D16" s="48">
        <f>COUNTIFS('PRODUCTS AND SERVICES'!$A$4:$A$237,"Chief Financial Officer",'PRODUCTS AND SERVICES'!$F$4:$F$237,$B16&amp;"*")</f>
        <v>0</v>
      </c>
      <c r="E16" s="48">
        <f>COUNTIFS('PRODUCTS AND SERVICES'!$A$4:$A$237,"Chief Human Capital Officer",'PRODUCTS AND SERVICES'!$F$4:$F$237,$B16&amp;"*")</f>
        <v>0</v>
      </c>
      <c r="F16" s="48">
        <f>COUNTIFS('PRODUCTS AND SERVICES'!$A$4:$A$237,"Chief Information Officer",'PRODUCTS AND SERVICES'!$F$4:$F$237,$B16&amp;"*")</f>
        <v>0</v>
      </c>
      <c r="G16" s="63">
        <f>COUNTIFS('PRODUCTS AND SERVICES'!$A$4:$A$237,"Chief Procurement Officer",'PRODUCTS AND SERVICES'!$F$4:$F$237,$B16&amp;"*")</f>
        <v>0</v>
      </c>
      <c r="H16" s="48">
        <f>COUNTIFS('PRODUCTS AND SERVICES'!$A$4:$A$237,"Community Planning and Development",'PRODUCTS AND SERVICES'!$F$4:$F$237,$B16&amp;"*")</f>
        <v>0</v>
      </c>
      <c r="I16" s="48">
        <f>COUNTIFS('PRODUCTS AND SERVICES'!$A$4:$A$237,"Community Planning and Development",'PRODUCTS AND SERVICES'!$F$4:$F$237,$B16&amp;"*")</f>
        <v>0</v>
      </c>
      <c r="J16" s="48">
        <f>COUNTIFS('PRODUCTS AND SERVICES'!$A$4:$A$237,"Fair Housing and Equal Opportunity",'PRODUCTS AND SERVICES'!$F$4:$F$237,$B16&amp;"*")</f>
        <v>0</v>
      </c>
      <c r="K16" s="48">
        <f>COUNTIFS('PRODUCTS AND SERVICES'!$A$4:$A$237,"Field Policy &amp; Management",'PRODUCTS AND SERVICES'!$F$4:$F$237,$B16&amp;"*")</f>
        <v>0</v>
      </c>
      <c r="L16" s="48">
        <f>COUNTIFS('PRODUCTS AND SERVICES'!$A$4:$A$237,"General Counsel",'PRODUCTS AND SERVICES'!$F$4:$F$237,$B16&amp;"*")</f>
        <v>0</v>
      </c>
      <c r="M16" s="48">
        <f>COUNTIFS('PRODUCTS AND SERVICES'!$A$4:$A$237,"Ginnie Mae",'PRODUCTS AND SERVICES'!$F$4:$F$237,$B16&amp;"*")</f>
        <v>0</v>
      </c>
      <c r="N16" s="48">
        <f>COUNTIFS('PRODUCTS AND SERVICES'!$A$4:$A$237,"Housing",'PRODUCTS AND SERVICES'!$F$4:$F$237,$B16&amp;"*")</f>
        <v>0</v>
      </c>
      <c r="O16" s="48">
        <f>COUNTIFS('PRODUCTS AND SERVICES'!$A$4:$A$237,"Lead Hazard Control and Healthy Homes",'PRODUCTS AND SERVICES'!$F$4:$F$237,$B16&amp;"*")</f>
        <v>0</v>
      </c>
      <c r="P16" s="48">
        <f>COUNTIFS('PRODUCTS AND SERVICES'!$A$4:$A$237,"Policy Development and Research",'PRODUCTS AND SERVICES'!$F$4:$F$237,$B16&amp;"*")</f>
        <v>0</v>
      </c>
      <c r="Q16" s="48">
        <f>COUNTIFS('PRODUCTS AND SERVICES'!$A$4:$A$237,"Public and Indian Housing",'PRODUCTS AND SERVICES'!$F$4:$F$237,$B16&amp;"*")</f>
        <v>0</v>
      </c>
      <c r="R16" s="48">
        <f>COUNTIFS('PRODUCTS AND SERVICES'!$A$4:$A$237,"Secretary",'PRODUCTS AND SERVICES'!$F$4:$F$237,$B16&amp;"*")</f>
        <v>0</v>
      </c>
      <c r="S16" s="49">
        <f>SUM(C16:R16)</f>
        <v>2</v>
      </c>
      <c r="T16" s="82">
        <f t="shared" si="1"/>
        <v>8.5470085470085479E-3</v>
      </c>
    </row>
    <row r="17" spans="1:26" ht="27.6" x14ac:dyDescent="0.3">
      <c r="A17" s="33" t="s">
        <v>226</v>
      </c>
      <c r="B17" s="47">
        <v>518210</v>
      </c>
      <c r="C17" s="48">
        <f>COUNTIFS('PRODUCTS AND SERVICES'!$A$4:$A$238,"Administration",'PRODUCTS AND SERVICES'!$F$4:$F$238,$B17&amp;"*")</f>
        <v>0</v>
      </c>
      <c r="D17" s="48">
        <f>COUNTIFS('PRODUCTS AND SERVICES'!$A$4:$A$238,"Chief Financial Officer",'PRODUCTS AND SERVICES'!$F$4:$F$238,$B17&amp;"*")</f>
        <v>0</v>
      </c>
      <c r="E17" s="48">
        <f>COUNTIFS('PRODUCTS AND SERVICES'!$A$4:$A$238,"Chief Human Capital Officer",'PRODUCTS AND SERVICES'!$F$4:$F$238,$B17&amp;"*")</f>
        <v>0</v>
      </c>
      <c r="F17" s="48">
        <f>COUNTIFS('PRODUCTS AND SERVICES'!$A$4:$A$238,"Chief Information Officer",'PRODUCTS AND SERVICES'!$F$4:$F$238,$B17&amp;"*")</f>
        <v>1</v>
      </c>
      <c r="G17" s="34">
        <f>COUNTIFS('PRODUCTS AND SERVICES'!$A$4:$A$238,"Chief Procurement Officer",'PRODUCTS AND SERVICES'!$F$4:$F$238,$B17&amp;"*")</f>
        <v>0</v>
      </c>
      <c r="H17" s="48">
        <f>COUNTIFS('PRODUCTS AND SERVICES'!$A$4:$A$238,"Community Planning and Development",'PRODUCTS AND SERVICES'!$F$4:$F$238,$B17&amp;"*")</f>
        <v>0</v>
      </c>
      <c r="I17" s="48">
        <f>COUNTIFS('PRODUCTS AND SERVICES'!$A$4:$A$238,"Departmental Equal Employment Opportunity",'PRODUCTS AND SERVICES'!$F$4:$F$238,$B17&amp;"*")</f>
        <v>0</v>
      </c>
      <c r="J17" s="48">
        <f>COUNTIFS('PRODUCTS AND SERVICES'!$A$4:$A$238,"Fair Housing and Equal Opportunity",'PRODUCTS AND SERVICES'!$F$4:$F$238,$B17&amp;"*")</f>
        <v>0</v>
      </c>
      <c r="K17" s="48">
        <f>COUNTIFS('PRODUCTS AND SERVICES'!$A$4:$A$238,"Field Policy and Management",'PRODUCTS AND SERVICES'!$F$4:$F$238,$B17&amp;"*")</f>
        <v>0</v>
      </c>
      <c r="L17" s="48">
        <f>COUNTIFS('PRODUCTS AND SERVICES'!$A$4:$A$238,"General Counsel",'PRODUCTS AND SERVICES'!$F$4:$F$238,$B17&amp;"*")</f>
        <v>0</v>
      </c>
      <c r="M17" s="48">
        <f>COUNTIFS('PRODUCTS AND SERVICES'!$A$4:$A$238,"Ginnie Mae",'PRODUCTS AND SERVICES'!$F$4:$F$238,$B17&amp;"*")</f>
        <v>4</v>
      </c>
      <c r="N17" s="48">
        <f>COUNTIFS('PRODUCTS AND SERVICES'!$A$4:$A$238,"Housing",'PRODUCTS AND SERVICES'!$F$4:$F$238,$B17&amp;"*")</f>
        <v>1</v>
      </c>
      <c r="O17" s="48">
        <f>COUNTIFS('PRODUCTS AND SERVICES'!$A$4:$A$238,"Lead Hazard Control and Healthy Homes",'PRODUCTS AND SERVICES'!$F$4:$F$238,$B17&amp;"*")</f>
        <v>0</v>
      </c>
      <c r="P17" s="48">
        <f>COUNTIFS('PRODUCTS AND SERVICES'!$A$4:$A$238,"Policy Development and Research",'PRODUCTS AND SERVICES'!$F$4:$F$238,$B17&amp;"*")</f>
        <v>0</v>
      </c>
      <c r="Q17" s="48">
        <f>COUNTIFS('PRODUCTS AND SERVICES'!$A$4:$A$238,"Public and Indian Housing",'PRODUCTS AND SERVICES'!$F$4:$F$238,$B17&amp;"*")</f>
        <v>1</v>
      </c>
      <c r="R17" s="48">
        <f>COUNTIFS('PRODUCTS AND SERVICES'!$A$4:$A$238,"Secretary",'PRODUCTS AND SERVICES'!$F$4:$F$238,$B17&amp;"*")</f>
        <v>0</v>
      </c>
      <c r="S17" s="49">
        <f>SUM(C17:R17)</f>
        <v>7</v>
      </c>
      <c r="T17" s="82">
        <f t="shared" si="1"/>
        <v>2.9914529914529916E-2</v>
      </c>
    </row>
    <row r="18" spans="1:26" x14ac:dyDescent="0.3">
      <c r="A18" s="33" t="s">
        <v>830</v>
      </c>
      <c r="B18" s="47" t="s">
        <v>829</v>
      </c>
      <c r="C18" s="48">
        <f>COUNTIFS('PRODUCTS AND SERVICES'!$A$4:$A$237,"Administration",'PRODUCTS AND SERVICES'!$F$4:$F$237,$B18&amp;"*")</f>
        <v>0</v>
      </c>
      <c r="D18" s="48">
        <f>COUNTIFS('PRODUCTS AND SERVICES'!$A$4:$A$237,"Chief Financial Officer",'PRODUCTS AND SERVICES'!$F$4:$F$237,$B18&amp;"*")</f>
        <v>0</v>
      </c>
      <c r="E18" s="48">
        <f>COUNTIFS('PRODUCTS AND SERVICES'!$A$4:$A$237,"Chief Human Capital Officer",'PRODUCTS AND SERVICES'!$F$4:$F$237,$B18&amp;"*")</f>
        <v>0</v>
      </c>
      <c r="F18" s="48">
        <f>COUNTIFS('PRODUCTS AND SERVICES'!$A$4:$A$237,"Chief Information Officer",'PRODUCTS AND SERVICES'!$F$4:$F$237,$B18&amp;"*")</f>
        <v>0</v>
      </c>
      <c r="G18" s="63">
        <f>COUNTIFS('PRODUCTS AND SERVICES'!$A$4:$A$237,"Chief Procurement Officer",'PRODUCTS AND SERVICES'!$F$4:$F$237,$B18&amp;"*")</f>
        <v>0</v>
      </c>
      <c r="H18" s="48">
        <f>COUNTIFS('PRODUCTS AND SERVICES'!$A$4:$A$237,"Community Planning and Development",'PRODUCTS AND SERVICES'!$F$4:$F$237,$B18&amp;"*")</f>
        <v>0</v>
      </c>
      <c r="I18" s="48">
        <f>COUNTIFS('PRODUCTS AND SERVICES'!$A$4:$A$237,"Community Planning and Development",'PRODUCTS AND SERVICES'!$F$4:$F$237,$B18&amp;"*")</f>
        <v>0</v>
      </c>
      <c r="J18" s="48">
        <f>COUNTIFS('PRODUCTS AND SERVICES'!$A$4:$A$237,"Fair Housing and Equal Opportunity",'PRODUCTS AND SERVICES'!$F$4:$F$237,$B18&amp;"*")</f>
        <v>0</v>
      </c>
      <c r="K18" s="48">
        <f>COUNTIFS('PRODUCTS AND SERVICES'!$A$4:$A$237,"Field Policy &amp; Management",'PRODUCTS AND SERVICES'!$F$4:$F$237,$B18&amp;"*")</f>
        <v>0</v>
      </c>
      <c r="L18" s="48">
        <f>COUNTIFS('PRODUCTS AND SERVICES'!$A$4:$A$237,"General Counsel",'PRODUCTS AND SERVICES'!$F$4:$F$237,$B18&amp;"*")</f>
        <v>0</v>
      </c>
      <c r="M18" s="48">
        <f>COUNTIFS('PRODUCTS AND SERVICES'!$A$4:$A$237,"Ginnie Mae",'PRODUCTS AND SERVICES'!$F$4:$F$237,$B18&amp;"*")</f>
        <v>0</v>
      </c>
      <c r="N18" s="48">
        <f>COUNTIFS('PRODUCTS AND SERVICES'!$A$4:$A$237,"Housing",'PRODUCTS AND SERVICES'!$F$4:$F$237,$B18&amp;"*")</f>
        <v>0</v>
      </c>
      <c r="O18" s="48">
        <f>COUNTIFS('PRODUCTS AND SERVICES'!$A$4:$A$237,"Lead Hazard Control and Healthy Homes",'PRODUCTS AND SERVICES'!$F$4:$F$237,$B18&amp;"*")</f>
        <v>0</v>
      </c>
      <c r="P18" s="48">
        <f>COUNTIFS('PRODUCTS AND SERVICES'!$A$4:$A$237,"Policy Development and Research",'PRODUCTS AND SERVICES'!$F$4:$F$237,$B18&amp;"*")</f>
        <v>1</v>
      </c>
      <c r="Q18" s="48">
        <f>COUNTIFS('PRODUCTS AND SERVICES'!$A$4:$A$237,"Public and Indian Housing",'PRODUCTS AND SERVICES'!$F$4:$F$237,$B18&amp;"*")</f>
        <v>0</v>
      </c>
      <c r="R18" s="48">
        <f>COUNTIFS('PRODUCTS AND SERVICES'!$A$4:$A$237,"Secretary",'PRODUCTS AND SERVICES'!$F$4:$F$237,$B18&amp;"*")</f>
        <v>0</v>
      </c>
      <c r="S18" s="49">
        <f t="shared" ref="S18:S20" si="3">SUM(C18:R18)</f>
        <v>1</v>
      </c>
      <c r="T18" s="82">
        <f t="shared" ref="T18:T20" si="4">S18/$S$59</f>
        <v>4.2735042735042739E-3</v>
      </c>
    </row>
    <row r="19" spans="1:26" x14ac:dyDescent="0.3">
      <c r="A19" s="33" t="s">
        <v>227</v>
      </c>
      <c r="B19" s="47" t="s">
        <v>173</v>
      </c>
      <c r="C19" s="48">
        <f>COUNTIFS('PRODUCTS AND SERVICES'!$A$4:$A$237,"Administration",'PRODUCTS AND SERVICES'!$F$4:$F$237,$B19&amp;"*")</f>
        <v>1</v>
      </c>
      <c r="D19" s="48">
        <f>COUNTIFS('PRODUCTS AND SERVICES'!$A$4:$A$237,"Chief Financial Officer",'PRODUCTS AND SERVICES'!$F$4:$F$237,$B19&amp;"*")</f>
        <v>0</v>
      </c>
      <c r="E19" s="48">
        <f>COUNTIFS('PRODUCTS AND SERVICES'!$A$4:$A$237,"Chief Human Capital Officer",'PRODUCTS AND SERVICES'!$F$4:$F$237,$B19&amp;"*")</f>
        <v>0</v>
      </c>
      <c r="F19" s="48">
        <f>COUNTIFS('PRODUCTS AND SERVICES'!$A$4:$A$237,"Chief Information Officer",'PRODUCTS AND SERVICES'!$F$4:$F$237,$B19&amp;"*")</f>
        <v>0</v>
      </c>
      <c r="G19" s="63">
        <f>COUNTIFS('PRODUCTS AND SERVICES'!$A$4:$A$237,"Chief Procurement Officer",'PRODUCTS AND SERVICES'!$F$4:$F$237,$B19&amp;"*")</f>
        <v>1</v>
      </c>
      <c r="H19" s="48">
        <f>COUNTIFS('PRODUCTS AND SERVICES'!$A$4:$A$237,"Community Planning and Development",'PRODUCTS AND SERVICES'!$F$4:$F$237,$B19&amp;"*")</f>
        <v>0</v>
      </c>
      <c r="I19" s="48">
        <f>COUNTIFS('PRODUCTS AND SERVICES'!$A$4:$A$237,"Community Planning and Development",'PRODUCTS AND SERVICES'!$F$4:$F$237,$B19&amp;"*")</f>
        <v>0</v>
      </c>
      <c r="J19" s="48">
        <f>COUNTIFS('PRODUCTS AND SERVICES'!$A$4:$A$237,"Fair Housing and Equal Opportunity",'PRODUCTS AND SERVICES'!$F$4:$F$237,$B19&amp;"*")</f>
        <v>0</v>
      </c>
      <c r="K19" s="48">
        <f>COUNTIFS('PRODUCTS AND SERVICES'!$A$4:$A$237,"Field Policy &amp; Management",'PRODUCTS AND SERVICES'!$F$4:$F$237,$B19&amp;"*")</f>
        <v>0</v>
      </c>
      <c r="L19" s="48">
        <f>COUNTIFS('PRODUCTS AND SERVICES'!$A$4:$A$237,"General Counsel",'PRODUCTS AND SERVICES'!$F$4:$F$237,$B19&amp;"*")</f>
        <v>0</v>
      </c>
      <c r="M19" s="48">
        <f>COUNTIFS('PRODUCTS AND SERVICES'!$A$4:$A$237,"Ginnie Mae",'PRODUCTS AND SERVICES'!$F$4:$F$237,$B19&amp;"*")</f>
        <v>1</v>
      </c>
      <c r="N19" s="48">
        <f>COUNTIFS('PRODUCTS AND SERVICES'!$A$4:$A$237,"Housing",'PRODUCTS AND SERVICES'!$F$4:$F$237,$B19&amp;"*")</f>
        <v>8</v>
      </c>
      <c r="O19" s="48">
        <f>COUNTIFS('PRODUCTS AND SERVICES'!$A$4:$A$237,"Lead Hazard Control and Healthy Homes",'PRODUCTS AND SERVICES'!$F$4:$F$237,$B19&amp;"*")</f>
        <v>0</v>
      </c>
      <c r="P19" s="48">
        <f>COUNTIFS('PRODUCTS AND SERVICES'!$A$4:$A$237,"Policy Development and Research",'PRODUCTS AND SERVICES'!$F$4:$F$237,$B19&amp;"*")</f>
        <v>1</v>
      </c>
      <c r="Q19" s="48">
        <f>COUNTIFS('PRODUCTS AND SERVICES'!$A$4:$A$237,"Public and Indian Housing",'PRODUCTS AND SERVICES'!$F$4:$F$237,$B19&amp;"*")</f>
        <v>0</v>
      </c>
      <c r="R19" s="48">
        <f>COUNTIFS('PRODUCTS AND SERVICES'!$A$4:$A$237,"Secretary",'PRODUCTS AND SERVICES'!$F$4:$F$237,$B19&amp;"*")</f>
        <v>1</v>
      </c>
      <c r="S19" s="49">
        <f t="shared" si="3"/>
        <v>13</v>
      </c>
      <c r="T19" s="82">
        <f t="shared" si="4"/>
        <v>5.5555555555555552E-2</v>
      </c>
    </row>
    <row r="20" spans="1:26" x14ac:dyDescent="0.3">
      <c r="A20" s="33" t="s">
        <v>831</v>
      </c>
      <c r="B20" s="47" t="s">
        <v>501</v>
      </c>
      <c r="C20" s="48">
        <f>COUNTIFS('PRODUCTS AND SERVICES'!$A$4:$A$237,"Administration",'PRODUCTS AND SERVICES'!$F$4:$F$237,$B20&amp;"*")</f>
        <v>0</v>
      </c>
      <c r="D20" s="48">
        <f>COUNTIFS('PRODUCTS AND SERVICES'!$A$4:$A$237,"Chief Financial Officer",'PRODUCTS AND SERVICES'!$F$4:$F$237,$B20&amp;"*")</f>
        <v>0</v>
      </c>
      <c r="E20" s="48">
        <f>COUNTIFS('PRODUCTS AND SERVICES'!$A$4:$A$237,"Chief Human Capital Officer",'PRODUCTS AND SERVICES'!$F$4:$F$237,$B20&amp;"*")</f>
        <v>0</v>
      </c>
      <c r="F20" s="48">
        <f>COUNTIFS('PRODUCTS AND SERVICES'!$A$4:$A$237,"Chief Information Officer",'PRODUCTS AND SERVICES'!$F$4:$F$237,$B20&amp;"*")</f>
        <v>0</v>
      </c>
      <c r="G20" s="63">
        <f>COUNTIFS('PRODUCTS AND SERVICES'!$A$4:$A$237,"Chief Procurement Officer",'PRODUCTS AND SERVICES'!$F$4:$F$237,$B20&amp;"*")</f>
        <v>0</v>
      </c>
      <c r="H20" s="48">
        <f>COUNTIFS('PRODUCTS AND SERVICES'!$A$4:$A$237,"Community Planning and Development",'PRODUCTS AND SERVICES'!$F$4:$F$237,$B20&amp;"*")</f>
        <v>0</v>
      </c>
      <c r="I20" s="48">
        <f>COUNTIFS('PRODUCTS AND SERVICES'!$A$4:$A$237,"Community Planning and Development",'PRODUCTS AND SERVICES'!$F$4:$F$237,$B20&amp;"*")</f>
        <v>0</v>
      </c>
      <c r="J20" s="48">
        <f>COUNTIFS('PRODUCTS AND SERVICES'!$A$4:$A$237,"Fair Housing and Equal Opportunity",'PRODUCTS AND SERVICES'!$F$4:$F$237,$B20&amp;"*")</f>
        <v>0</v>
      </c>
      <c r="K20" s="48">
        <f>COUNTIFS('PRODUCTS AND SERVICES'!$A$4:$A$237,"Field Policy &amp; Management",'PRODUCTS AND SERVICES'!$F$4:$F$237,$B20&amp;"*")</f>
        <v>0</v>
      </c>
      <c r="L20" s="48">
        <f>COUNTIFS('PRODUCTS AND SERVICES'!$A$4:$A$237,"General Counsel",'PRODUCTS AND SERVICES'!$F$4:$F$237,$B20&amp;"*")</f>
        <v>0</v>
      </c>
      <c r="M20" s="48">
        <f>COUNTIFS('PRODUCTS AND SERVICES'!$A$4:$A$237,"Ginnie Mae",'PRODUCTS AND SERVICES'!$F$4:$F$237,$B20&amp;"*")</f>
        <v>0</v>
      </c>
      <c r="N20" s="48">
        <f>COUNTIFS('PRODUCTS AND SERVICES'!$A$4:$A$237,"Housing",'PRODUCTS AND SERVICES'!$F$4:$F$237,$B20&amp;"*")</f>
        <v>2</v>
      </c>
      <c r="O20" s="48">
        <f>COUNTIFS('PRODUCTS AND SERVICES'!$A$4:$A$237,"Lead Hazard Control and Healthy Homes",'PRODUCTS AND SERVICES'!$F$4:$F$237,$B20&amp;"*")</f>
        <v>0</v>
      </c>
      <c r="P20" s="48">
        <f>COUNTIFS('PRODUCTS AND SERVICES'!$A$4:$A$237,"Policy Development and Research",'PRODUCTS AND SERVICES'!$F$4:$F$237,$B20&amp;"*")</f>
        <v>0</v>
      </c>
      <c r="Q20" s="48">
        <f>COUNTIFS('PRODUCTS AND SERVICES'!$A$4:$A$237,"Public and Indian Housing",'PRODUCTS AND SERVICES'!$F$4:$F$237,$B20&amp;"*")</f>
        <v>0</v>
      </c>
      <c r="R20" s="48">
        <f>COUNTIFS('PRODUCTS AND SERVICES'!$A$4:$A$237,"Secretary",'PRODUCTS AND SERVICES'!$F$4:$F$237,$B20&amp;"*")</f>
        <v>0</v>
      </c>
      <c r="S20" s="49">
        <f t="shared" si="3"/>
        <v>2</v>
      </c>
      <c r="T20" s="82">
        <f t="shared" si="4"/>
        <v>8.5470085470085479E-3</v>
      </c>
    </row>
    <row r="21" spans="1:26" ht="21" x14ac:dyDescent="0.4">
      <c r="A21" s="33" t="s">
        <v>832</v>
      </c>
      <c r="B21" s="47" t="s">
        <v>504</v>
      </c>
      <c r="C21" s="48">
        <f>COUNTIFS('PRODUCTS AND SERVICES'!$A$4:$A$238,"Administration",'PRODUCTS AND SERVICES'!$F$4:$F$238,$B21&amp;"*")</f>
        <v>0</v>
      </c>
      <c r="D21" s="48">
        <f>COUNTIFS('PRODUCTS AND SERVICES'!$A$4:$A$238,"Chief Financial Officer",'PRODUCTS AND SERVICES'!$F$4:$F$238,$B21&amp;"*")</f>
        <v>0</v>
      </c>
      <c r="E21" s="48">
        <f>COUNTIFS('PRODUCTS AND SERVICES'!$A$4:$A$238,"Chief Human Capital Officer",'PRODUCTS AND SERVICES'!$F$4:$F$238,$B21&amp;"*")</f>
        <v>0</v>
      </c>
      <c r="F21" s="48">
        <f>COUNTIFS('PRODUCTS AND SERVICES'!$A$4:$A$238,"Chief Information Officer",'PRODUCTS AND SERVICES'!$F$4:$F$238,$B21&amp;"*")</f>
        <v>0</v>
      </c>
      <c r="G21" s="34">
        <f>COUNTIFS('PRODUCTS AND SERVICES'!$A$4:$A$238,"Chief Procurement Officer",'PRODUCTS AND SERVICES'!$F$4:$F$238,$B21&amp;"*")</f>
        <v>0</v>
      </c>
      <c r="H21" s="48">
        <f>COUNTIFS('PRODUCTS AND SERVICES'!$A$4:$A$238,"Community Planning and Development",'PRODUCTS AND SERVICES'!$F$4:$F$238,$B21&amp;"*")</f>
        <v>0</v>
      </c>
      <c r="I21" s="48">
        <f>COUNTIFS('PRODUCTS AND SERVICES'!$A$4:$A$238,"Departmental Equal Employment Opportunity",'PRODUCTS AND SERVICES'!$F$4:$F$238,$B21&amp;"*")</f>
        <v>0</v>
      </c>
      <c r="J21" s="48">
        <f>COUNTIFS('PRODUCTS AND SERVICES'!$A$4:$A$238,"Fair Housing and Equal Opportunity",'PRODUCTS AND SERVICES'!$F$4:$F$238,$B21&amp;"*")</f>
        <v>0</v>
      </c>
      <c r="K21" s="48">
        <f>COUNTIFS('PRODUCTS AND SERVICES'!$A$4:$A$238,"Field Policy and Management",'PRODUCTS AND SERVICES'!$F$4:$F$238,$B21&amp;"*")</f>
        <v>0</v>
      </c>
      <c r="L21" s="48">
        <f>COUNTIFS('PRODUCTS AND SERVICES'!$A$4:$A$238,"General Counsel",'PRODUCTS AND SERVICES'!$F$4:$F$238,$B21&amp;"*")</f>
        <v>0</v>
      </c>
      <c r="M21" s="48">
        <f>COUNTIFS('PRODUCTS AND SERVICES'!$A$4:$A$238,"Ginnie Mae",'PRODUCTS AND SERVICES'!$F$4:$F$238,$B21&amp;"*")</f>
        <v>0</v>
      </c>
      <c r="N21" s="48">
        <f>COUNTIFS('PRODUCTS AND SERVICES'!$A$4:$A$238,"Housing",'PRODUCTS AND SERVICES'!$F$4:$F$238,$B21&amp;"*")</f>
        <v>13</v>
      </c>
      <c r="O21" s="48">
        <f>COUNTIFS('PRODUCTS AND SERVICES'!$A$4:$A$238,"Lead Hazard Control and Healthy Homes",'PRODUCTS AND SERVICES'!$F$4:$F$238,$B21&amp;"*")</f>
        <v>0</v>
      </c>
      <c r="P21" s="48">
        <f>COUNTIFS('PRODUCTS AND SERVICES'!$A$4:$A$238,"Policy Development and Research",'PRODUCTS AND SERVICES'!$F$4:$F$238,$B21&amp;"*")</f>
        <v>0</v>
      </c>
      <c r="Q21" s="48">
        <f>COUNTIFS('PRODUCTS AND SERVICES'!$A$4:$A$238,"Public and Indian Housing",'PRODUCTS AND SERVICES'!$F$4:$F$238,$B21&amp;"*")</f>
        <v>0</v>
      </c>
      <c r="R21" s="48">
        <f>COUNTIFS('PRODUCTS AND SERVICES'!$A$4:$A$238,"Secretary",'PRODUCTS AND SERVICES'!$F$4:$F$238,$B21&amp;"*")</f>
        <v>0</v>
      </c>
      <c r="S21" s="49">
        <f t="shared" si="0"/>
        <v>13</v>
      </c>
      <c r="T21" s="50">
        <f t="shared" ref="T21:T58" si="5">S21/$S$59</f>
        <v>5.5555555555555552E-2</v>
      </c>
      <c r="Z21" s="10"/>
    </row>
    <row r="22" spans="1:26" s="20" customFormat="1" x14ac:dyDescent="0.3">
      <c r="A22" s="38" t="s">
        <v>833</v>
      </c>
      <c r="B22" s="62">
        <v>531390</v>
      </c>
      <c r="C22" s="48">
        <f>COUNTIFS('PRODUCTS AND SERVICES'!$A$4:$A$238,"Administration",'PRODUCTS AND SERVICES'!$F$4:$F$238,$B22&amp;"*")</f>
        <v>0</v>
      </c>
      <c r="D22" s="48">
        <f>COUNTIFS('PRODUCTS AND SERVICES'!$A$4:$A$238,"Chief Financial Officer",'PRODUCTS AND SERVICES'!$F$4:$F$238,$B22&amp;"*")</f>
        <v>0</v>
      </c>
      <c r="E22" s="48">
        <f>COUNTIFS('PRODUCTS AND SERVICES'!$A$4:$A$238,"Chief Human Capital Officer",'PRODUCTS AND SERVICES'!$F$4:$F$238,$B22&amp;"*")</f>
        <v>0</v>
      </c>
      <c r="F22" s="48">
        <f>COUNTIFS('PRODUCTS AND SERVICES'!$A$4:$A$238,"Chief Information Officer",'PRODUCTS AND SERVICES'!$F$4:$F$238,$B22&amp;"*")</f>
        <v>0</v>
      </c>
      <c r="G22" s="34">
        <f>COUNTIFS('PRODUCTS AND SERVICES'!$A$4:$A$238,"Chief Procurement Officer",'PRODUCTS AND SERVICES'!$F$4:$F$238,$B22&amp;"*")</f>
        <v>0</v>
      </c>
      <c r="H22" s="48">
        <f>COUNTIFS('PRODUCTS AND SERVICES'!$A$4:$A$238,"Community Planning and Development",'PRODUCTS AND SERVICES'!$F$4:$F$238,$B22&amp;"*")</f>
        <v>0</v>
      </c>
      <c r="I22" s="48">
        <f>COUNTIFS('PRODUCTS AND SERVICES'!$A$4:$A$238,"Departmental Equal Employment Opportunity",'PRODUCTS AND SERVICES'!$F$4:$F$238,$B22&amp;"*")</f>
        <v>0</v>
      </c>
      <c r="J22" s="48">
        <f>COUNTIFS('PRODUCTS AND SERVICES'!$A$4:$A$238,"Fair Housing and Equal Opportunity",'PRODUCTS AND SERVICES'!$F$4:$F$238,$B22&amp;"*")</f>
        <v>0</v>
      </c>
      <c r="K22" s="48">
        <f>COUNTIFS('PRODUCTS AND SERVICES'!$A$4:$A$238,"Field Policy and Management",'PRODUCTS AND SERVICES'!$F$4:$F$238,$B22&amp;"*")</f>
        <v>0</v>
      </c>
      <c r="L22" s="48">
        <f>COUNTIFS('PRODUCTS AND SERVICES'!$A$4:$A$238,"General Counsel",'PRODUCTS AND SERVICES'!$F$4:$F$238,$B22&amp;"*")</f>
        <v>0</v>
      </c>
      <c r="M22" s="48">
        <f>COUNTIFS('PRODUCTS AND SERVICES'!$A$4:$A$238,"Ginnie Mae",'PRODUCTS AND SERVICES'!$F$4:$F$238,$B22&amp;"*")</f>
        <v>0</v>
      </c>
      <c r="N22" s="48">
        <f>COUNTIFS('PRODUCTS AND SERVICES'!$A$4:$A$238,"Housing",'PRODUCTS AND SERVICES'!$F$4:$F$238,$B22&amp;"*")</f>
        <v>0</v>
      </c>
      <c r="O22" s="48">
        <f>COUNTIFS('PRODUCTS AND SERVICES'!$A$4:$A$238,"Lead Hazard Control and Healthy Homes",'PRODUCTS AND SERVICES'!$F$4:$F$238,$B22&amp;"*")</f>
        <v>0</v>
      </c>
      <c r="P22" s="48">
        <f>COUNTIFS('PRODUCTS AND SERVICES'!$A$4:$A$238,"Policy Development and Research",'PRODUCTS AND SERVICES'!$F$4:$F$238,$B22&amp;"*")</f>
        <v>1</v>
      </c>
      <c r="Q22" s="48">
        <f>COUNTIFS('PRODUCTS AND SERVICES'!$A$4:$A$238,"Public and Indian Housing",'PRODUCTS AND SERVICES'!$F$4:$F$238,$B22&amp;"*")</f>
        <v>0</v>
      </c>
      <c r="R22" s="48">
        <f>COUNTIFS('PRODUCTS AND SERVICES'!$A$4:$A$238,"Secretary",'PRODUCTS AND SERVICES'!$F$4:$F$238,$B22&amp;"*")</f>
        <v>0</v>
      </c>
      <c r="S22" s="51">
        <f t="shared" si="0"/>
        <v>1</v>
      </c>
      <c r="T22" s="50">
        <f t="shared" si="5"/>
        <v>4.2735042735042739E-3</v>
      </c>
    </row>
    <row r="23" spans="1:26" x14ac:dyDescent="0.3">
      <c r="A23" s="33" t="s">
        <v>228</v>
      </c>
      <c r="B23" s="47">
        <v>541199</v>
      </c>
      <c r="C23" s="48">
        <f>COUNTIFS('PRODUCTS AND SERVICES'!$A$4:$A$238,"Administration",'PRODUCTS AND SERVICES'!$F$4:$F$238,$B23&amp;"*")</f>
        <v>0</v>
      </c>
      <c r="D23" s="48">
        <f>COUNTIFS('PRODUCTS AND SERVICES'!$A$4:$A$238,"Chief Financial Officer",'PRODUCTS AND SERVICES'!$F$4:$F$238,$B23&amp;"*")</f>
        <v>0</v>
      </c>
      <c r="E23" s="48">
        <f>COUNTIFS('PRODUCTS AND SERVICES'!$A$4:$A$238,"Chief Human Capital Officer",'PRODUCTS AND SERVICES'!$F$4:$F$238,$B23&amp;"*")</f>
        <v>2</v>
      </c>
      <c r="F23" s="48">
        <f>COUNTIFS('PRODUCTS AND SERVICES'!$A$4:$A$238,"Chief Information Officer",'PRODUCTS AND SERVICES'!$F$4:$F$238,$B23&amp;"*")</f>
        <v>0</v>
      </c>
      <c r="G23" s="34">
        <f>COUNTIFS('PRODUCTS AND SERVICES'!$A$4:$A$238,"Chief Procurement Officer",'PRODUCTS AND SERVICES'!$F$4:$F$238,$B23&amp;"*")</f>
        <v>0</v>
      </c>
      <c r="H23" s="48">
        <f>COUNTIFS('PRODUCTS AND SERVICES'!$A$4:$A$238,"Community Planning and Development",'PRODUCTS AND SERVICES'!$F$4:$F$238,$B23&amp;"*")</f>
        <v>0</v>
      </c>
      <c r="I23" s="48">
        <f>COUNTIFS('PRODUCTS AND SERVICES'!$A$4:$A$238,"Departmental Equal Employment Opportunity",'PRODUCTS AND SERVICES'!$F$4:$F$238,$B23&amp;"*")</f>
        <v>0</v>
      </c>
      <c r="J23" s="48">
        <f>COUNTIFS('PRODUCTS AND SERVICES'!$A$4:$A$238,"Fair Housing and Equal Opportunity",'PRODUCTS AND SERVICES'!$F$4:$F$238,$B23&amp;"*")</f>
        <v>0</v>
      </c>
      <c r="K23" s="48">
        <f>COUNTIFS('PRODUCTS AND SERVICES'!$A$4:$A$238,"Field Policy and Management",'PRODUCTS AND SERVICES'!$F$4:$F$238,$B23&amp;"*")</f>
        <v>0</v>
      </c>
      <c r="L23" s="48">
        <f>COUNTIFS('PRODUCTS AND SERVICES'!$A$4:$A$238,"General Counsel",'PRODUCTS AND SERVICES'!$F$4:$F$238,$B23&amp;"*")</f>
        <v>0</v>
      </c>
      <c r="M23" s="48">
        <f>COUNTIFS('PRODUCTS AND SERVICES'!$A$4:$A$238,"Ginnie Mae",'PRODUCTS AND SERVICES'!$F$4:$F$238,$B23&amp;"*")</f>
        <v>0</v>
      </c>
      <c r="N23" s="48">
        <f>COUNTIFS('PRODUCTS AND SERVICES'!$A$4:$A$238,"Housing",'PRODUCTS AND SERVICES'!$F$4:$F$238,$B23&amp;"*")</f>
        <v>0</v>
      </c>
      <c r="O23" s="48">
        <f>COUNTIFS('PRODUCTS AND SERVICES'!$A$4:$A$238,"Lead Hazard Control and Healthy Homes",'PRODUCTS AND SERVICES'!$F$4:$F$238,$B23&amp;"*")</f>
        <v>0</v>
      </c>
      <c r="P23" s="48">
        <f>COUNTIFS('PRODUCTS AND SERVICES'!$A$4:$A$238,"Policy Development and Research",'PRODUCTS AND SERVICES'!$F$4:$F$238,$B23&amp;"*")</f>
        <v>0</v>
      </c>
      <c r="Q23" s="48">
        <f>COUNTIFS('PRODUCTS AND SERVICES'!$A$4:$A$238,"Public and Indian Housing",'PRODUCTS AND SERVICES'!$F$4:$F$238,$B23&amp;"*")</f>
        <v>0</v>
      </c>
      <c r="R23" s="48">
        <f>COUNTIFS('PRODUCTS AND SERVICES'!$A$4:$A$238,"Secretary",'PRODUCTS AND SERVICES'!$F$4:$F$238,$B23&amp;"*")</f>
        <v>0</v>
      </c>
      <c r="S23" s="49">
        <f>SUM(C23:R23)</f>
        <v>2</v>
      </c>
      <c r="T23" s="82">
        <f t="shared" si="5"/>
        <v>8.5470085470085479E-3</v>
      </c>
      <c r="U23" s="104"/>
    </row>
    <row r="24" spans="1:26" s="20" customFormat="1" x14ac:dyDescent="0.3">
      <c r="A24" s="38" t="s">
        <v>229</v>
      </c>
      <c r="B24" s="62">
        <v>541211</v>
      </c>
      <c r="C24" s="48">
        <f>COUNTIFS('PRODUCTS AND SERVICES'!$A$4:$A$238,"Administration",'PRODUCTS AND SERVICES'!$F$4:$F$238,$B24&amp;"*")</f>
        <v>0</v>
      </c>
      <c r="D24" s="48">
        <f>COUNTIFS('PRODUCTS AND SERVICES'!$A$4:$A$238,"Chief Financial Officer",'PRODUCTS AND SERVICES'!$F$4:$F$238,$B24&amp;"*")</f>
        <v>0</v>
      </c>
      <c r="E24" s="48">
        <f>COUNTIFS('PRODUCTS AND SERVICES'!$A$4:$A$238,"Chief Human Capital Officer",'PRODUCTS AND SERVICES'!$F$4:$F$238,$B24&amp;"*")</f>
        <v>0</v>
      </c>
      <c r="F24" s="48">
        <f>COUNTIFS('PRODUCTS AND SERVICES'!$A$4:$A$238,"Chief Information Officer",'PRODUCTS AND SERVICES'!$F$4:$F$238,$B24&amp;"*")</f>
        <v>0</v>
      </c>
      <c r="G24" s="34">
        <f>COUNTIFS('PRODUCTS AND SERVICES'!$A$4:$A$238,"Chief Procurement Officer",'PRODUCTS AND SERVICES'!$F$4:$F$238,$B24&amp;"*")</f>
        <v>0</v>
      </c>
      <c r="H24" s="48">
        <f>COUNTIFS('PRODUCTS AND SERVICES'!$A$4:$A$238,"Community Planning and Development",'PRODUCTS AND SERVICES'!$F$4:$F$238,$B24&amp;"*")</f>
        <v>0</v>
      </c>
      <c r="I24" s="48">
        <f>COUNTIFS('PRODUCTS AND SERVICES'!$A$4:$A$238,"Departmental Equal Employment Opportunity",'PRODUCTS AND SERVICES'!$F$4:$F$238,$B24&amp;"*")</f>
        <v>0</v>
      </c>
      <c r="J24" s="48">
        <f>COUNTIFS('PRODUCTS AND SERVICES'!$A$4:$A$238,"Fair Housing and Equal Opportunity",'PRODUCTS AND SERVICES'!$F$4:$F$238,$B24&amp;"*")</f>
        <v>0</v>
      </c>
      <c r="K24" s="48">
        <f>COUNTIFS('PRODUCTS AND SERVICES'!$A$4:$A$238,"Field Policy and Management",'PRODUCTS AND SERVICES'!$F$4:$F$238,$B24&amp;"*")</f>
        <v>0</v>
      </c>
      <c r="L24" s="48">
        <f>COUNTIFS('PRODUCTS AND SERVICES'!$A$4:$A$238,"General Counsel",'PRODUCTS AND SERVICES'!$F$4:$F$238,$B24&amp;"*")</f>
        <v>0</v>
      </c>
      <c r="M24" s="48">
        <f>COUNTIFS('PRODUCTS AND SERVICES'!$A$4:$A$238,"Ginnie Mae",'PRODUCTS AND SERVICES'!$F$4:$F$238,$B24&amp;"*")</f>
        <v>3</v>
      </c>
      <c r="N24" s="48">
        <f>COUNTIFS('PRODUCTS AND SERVICES'!$A$4:$A$238,"Housing",'PRODUCTS AND SERVICES'!$F$4:$F$238,$B24&amp;"*")</f>
        <v>2</v>
      </c>
      <c r="O24" s="48">
        <f>COUNTIFS('PRODUCTS AND SERVICES'!$A$4:$A$238,"Lead Hazard Control and Healthy Homes",'PRODUCTS AND SERVICES'!$F$4:$F$238,$B24&amp;"*")</f>
        <v>0</v>
      </c>
      <c r="P24" s="48">
        <f>COUNTIFS('PRODUCTS AND SERVICES'!$A$4:$A$238,"Policy Development and Research",'PRODUCTS AND SERVICES'!$F$4:$F$238,$B24&amp;"*")</f>
        <v>0</v>
      </c>
      <c r="Q24" s="48">
        <f>COUNTIFS('PRODUCTS AND SERVICES'!$A$4:$A$238,"Public and Indian Housing",'PRODUCTS AND SERVICES'!$F$4:$F$238,$B24&amp;"*")</f>
        <v>0</v>
      </c>
      <c r="R24" s="48">
        <f>COUNTIFS('PRODUCTS AND SERVICES'!$A$4:$A$238,"Secretary",'PRODUCTS AND SERVICES'!$F$4:$F$238,$B24&amp;"*")</f>
        <v>0</v>
      </c>
      <c r="S24" s="51">
        <f t="shared" si="0"/>
        <v>5</v>
      </c>
      <c r="T24" s="50">
        <f t="shared" si="5"/>
        <v>2.1367521367521368E-2</v>
      </c>
    </row>
    <row r="25" spans="1:26" x14ac:dyDescent="0.3">
      <c r="A25" s="33" t="s">
        <v>834</v>
      </c>
      <c r="B25" s="47" t="s">
        <v>700</v>
      </c>
      <c r="C25" s="48">
        <f>COUNTIFS('PRODUCTS AND SERVICES'!$A$4:$A$238,"Administration",'PRODUCTS AND SERVICES'!$F$4:$F$238,$B25&amp;"*")</f>
        <v>0</v>
      </c>
      <c r="D25" s="48">
        <f>COUNTIFS('PRODUCTS AND SERVICES'!$A$4:$A$238,"Chief Financial Officer",'PRODUCTS AND SERVICES'!$F$4:$F$238,$B25&amp;"*")</f>
        <v>0</v>
      </c>
      <c r="E25" s="48">
        <f>COUNTIFS('PRODUCTS AND SERVICES'!$A$4:$A$238,"Chief Human Capital Officer",'PRODUCTS AND SERVICES'!$F$4:$F$238,$B25&amp;"*")</f>
        <v>0</v>
      </c>
      <c r="F25" s="48">
        <f>COUNTIFS('PRODUCTS AND SERVICES'!$A$4:$A$238,"Chief Information Officer",'PRODUCTS AND SERVICES'!$F$4:$F$238,$B25&amp;"*")</f>
        <v>0</v>
      </c>
      <c r="G25" s="34">
        <f>COUNTIFS('PRODUCTS AND SERVICES'!$A$4:$A$238,"Chief Procurement Officer",'PRODUCTS AND SERVICES'!$F$4:$F$238,$B25&amp;"*")</f>
        <v>0</v>
      </c>
      <c r="H25" s="48">
        <f>COUNTIFS('PRODUCTS AND SERVICES'!$A$4:$A$238,"Community Planning and Development",'PRODUCTS AND SERVICES'!$F$4:$F$238,$B25&amp;"*")</f>
        <v>0</v>
      </c>
      <c r="I25" s="48">
        <f>COUNTIFS('PRODUCTS AND SERVICES'!$A$4:$A$238,"Departmental Equal Employment Opportunity",'PRODUCTS AND SERVICES'!$F$4:$F$238,$B25&amp;"*")</f>
        <v>0</v>
      </c>
      <c r="J25" s="48">
        <f>COUNTIFS('PRODUCTS AND SERVICES'!$A$4:$A$238,"Fair Housing and Equal Opportunity",'PRODUCTS AND SERVICES'!$F$4:$F$238,$B25&amp;"*")</f>
        <v>0</v>
      </c>
      <c r="K25" s="48">
        <f>COUNTIFS('PRODUCTS AND SERVICES'!$A$4:$A$238,"Field Policy and Management",'PRODUCTS AND SERVICES'!$F$4:$F$238,$B25&amp;"*")</f>
        <v>0</v>
      </c>
      <c r="L25" s="48">
        <f>COUNTIFS('PRODUCTS AND SERVICES'!$A$4:$A$238,"General Counsel",'PRODUCTS AND SERVICES'!$F$4:$F$238,$B25&amp;"*")</f>
        <v>0</v>
      </c>
      <c r="M25" s="48">
        <f>COUNTIFS('PRODUCTS AND SERVICES'!$A$4:$A$238,"Ginnie Mae",'PRODUCTS AND SERVICES'!$F$4:$F$238,$B25&amp;"*")</f>
        <v>1</v>
      </c>
      <c r="N25" s="48">
        <f>COUNTIFS('PRODUCTS AND SERVICES'!$A$4:$A$238,"Housing",'PRODUCTS AND SERVICES'!$F$4:$F$238,$B25&amp;"*")</f>
        <v>2</v>
      </c>
      <c r="O25" s="48">
        <f>COUNTIFS('PRODUCTS AND SERVICES'!$A$4:$A$238,"Lead Hazard Control and Healthy Homes",'PRODUCTS AND SERVICES'!$F$4:$F$238,$B25&amp;"*")</f>
        <v>0</v>
      </c>
      <c r="P25" s="48">
        <f>COUNTIFS('PRODUCTS AND SERVICES'!$A$4:$A$238,"Policy Development and Research",'PRODUCTS AND SERVICES'!$F$4:$F$238,$B25&amp;"*")</f>
        <v>0</v>
      </c>
      <c r="Q25" s="48">
        <f>COUNTIFS('PRODUCTS AND SERVICES'!$A$4:$A$238,"Public and Indian Housing",'PRODUCTS AND SERVICES'!$F$4:$F$238,$B25&amp;"*")</f>
        <v>0</v>
      </c>
      <c r="R25" s="48">
        <f>COUNTIFS('PRODUCTS AND SERVICES'!$A$4:$A$238,"Secretary",'PRODUCTS AND SERVICES'!$F$4:$F$238,$B25&amp;"*")</f>
        <v>0</v>
      </c>
      <c r="S25" s="49">
        <f t="shared" si="0"/>
        <v>3</v>
      </c>
      <c r="T25" s="50">
        <f t="shared" si="5"/>
        <v>1.282051282051282E-2</v>
      </c>
    </row>
    <row r="26" spans="1:26" x14ac:dyDescent="0.3">
      <c r="A26" s="33" t="s">
        <v>835</v>
      </c>
      <c r="B26" s="47" t="s">
        <v>514</v>
      </c>
      <c r="C26" s="48">
        <f>COUNTIFS('PRODUCTS AND SERVICES'!$A$4:$A$237,"Administration",'PRODUCTS AND SERVICES'!$F$4:$F$237,$B26&amp;"*")</f>
        <v>0</v>
      </c>
      <c r="D26" s="48">
        <f>COUNTIFS('PRODUCTS AND SERVICES'!$A$4:$A$237,"Chief Financial Officer",'PRODUCTS AND SERVICES'!$F$4:$F$237,$B26&amp;"*")</f>
        <v>0</v>
      </c>
      <c r="E26" s="48">
        <f>COUNTIFS('PRODUCTS AND SERVICES'!$A$4:$A$237,"Chief Human Capital Officer",'PRODUCTS AND SERVICES'!$F$4:$F$237,$B26&amp;"*")</f>
        <v>0</v>
      </c>
      <c r="F26" s="48">
        <f>COUNTIFS('PRODUCTS AND SERVICES'!$A$4:$A$237,"Chief Information Officer",'PRODUCTS AND SERVICES'!$F$4:$F$237,$B26&amp;"*")</f>
        <v>0</v>
      </c>
      <c r="G26" s="63">
        <f>COUNTIFS('PRODUCTS AND SERVICES'!$A$4:$A$237,"Chief Procurement Officer",'PRODUCTS AND SERVICES'!$F$4:$F$237,$B26&amp;"*")</f>
        <v>0</v>
      </c>
      <c r="H26" s="48">
        <f>COUNTIFS('PRODUCTS AND SERVICES'!$A$4:$A$237,"Community Planning and Development",'PRODUCTS AND SERVICES'!$F$4:$F$237,$B26&amp;"*")</f>
        <v>0</v>
      </c>
      <c r="I26" s="48">
        <f>COUNTIFS('PRODUCTS AND SERVICES'!$A$4:$A$237,"Community Planning and Development",'PRODUCTS AND SERVICES'!$F$4:$F$237,$B26&amp;"*")</f>
        <v>0</v>
      </c>
      <c r="J26" s="48">
        <f>COUNTIFS('PRODUCTS AND SERVICES'!$A$4:$A$237,"Fair Housing and Equal Opportunity",'PRODUCTS AND SERVICES'!$F$4:$F$237,$B26&amp;"*")</f>
        <v>0</v>
      </c>
      <c r="K26" s="48">
        <f>COUNTIFS('PRODUCTS AND SERVICES'!$A$4:$A$237,"Field Policy &amp; Management",'PRODUCTS AND SERVICES'!$F$4:$F$237,$B26&amp;"*")</f>
        <v>0</v>
      </c>
      <c r="L26" s="48">
        <f>COUNTIFS('PRODUCTS AND SERVICES'!$A$4:$A$237,"General Counsel",'PRODUCTS AND SERVICES'!$F$4:$F$237,$B26&amp;"*")</f>
        <v>0</v>
      </c>
      <c r="M26" s="48">
        <f>COUNTIFS('PRODUCTS AND SERVICES'!$A$4:$A$237,"Ginnie Mae",'PRODUCTS AND SERVICES'!$F$4:$F$237,$B26&amp;"*")</f>
        <v>0</v>
      </c>
      <c r="N26" s="48">
        <f>COUNTIFS('PRODUCTS AND SERVICES'!$A$4:$A$237,"Housing",'PRODUCTS AND SERVICES'!$F$4:$F$237,$B26&amp;"*")</f>
        <v>11</v>
      </c>
      <c r="O26" s="48">
        <f>COUNTIFS('PRODUCTS AND SERVICES'!$A$4:$A$237,"Lead Hazard Control and Healthy Homes",'PRODUCTS AND SERVICES'!$F$4:$F$237,$B26&amp;"*")</f>
        <v>0</v>
      </c>
      <c r="P26" s="48">
        <f>COUNTIFS('PRODUCTS AND SERVICES'!$A$4:$A$237,"Policy Development and Research",'PRODUCTS AND SERVICES'!$F$4:$F$237,$B26&amp;"*")</f>
        <v>0</v>
      </c>
      <c r="Q26" s="48">
        <f>COUNTIFS('PRODUCTS AND SERVICES'!$A$4:$A$237,"Public and Indian Housing",'PRODUCTS AND SERVICES'!$F$4:$F$237,$B26&amp;"*")</f>
        <v>0</v>
      </c>
      <c r="R26" s="48">
        <f>COUNTIFS('PRODUCTS AND SERVICES'!$A$4:$A$237,"Secretary",'PRODUCTS AND SERVICES'!$F$4:$F$237,$B26&amp;"*")</f>
        <v>0</v>
      </c>
      <c r="S26" s="49">
        <f>SUM(C26:R26)</f>
        <v>11</v>
      </c>
      <c r="T26" s="50">
        <f t="shared" si="5"/>
        <v>4.7008547008547008E-2</v>
      </c>
    </row>
    <row r="27" spans="1:26" x14ac:dyDescent="0.3">
      <c r="A27" s="33" t="s">
        <v>836</v>
      </c>
      <c r="B27" s="47" t="s">
        <v>479</v>
      </c>
      <c r="C27" s="48">
        <f>COUNTIFS('PRODUCTS AND SERVICES'!$A$4:$A$237,"Administration",'PRODUCTS AND SERVICES'!$F$4:$F$237,$B27&amp;"*")</f>
        <v>0</v>
      </c>
      <c r="D27" s="48">
        <f>COUNTIFS('PRODUCTS AND SERVICES'!$A$4:$A$237,"Chief Financial Officer",'PRODUCTS AND SERVICES'!$F$4:$F$237,$B27&amp;"*")</f>
        <v>0</v>
      </c>
      <c r="E27" s="48">
        <f>COUNTIFS('PRODUCTS AND SERVICES'!$A$4:$A$237,"Chief Human Capital Officer",'PRODUCTS AND SERVICES'!$F$4:$F$237,$B27&amp;"*")</f>
        <v>0</v>
      </c>
      <c r="F27" s="48">
        <f>COUNTIFS('PRODUCTS AND SERVICES'!$A$4:$A$237,"Chief Information Officer",'PRODUCTS AND SERVICES'!$F$4:$F$237,$B27&amp;"*")</f>
        <v>0</v>
      </c>
      <c r="G27" s="63">
        <f>COUNTIFS('PRODUCTS AND SERVICES'!$A$4:$A$237,"Chief Procurement Officer",'PRODUCTS AND SERVICES'!$F$4:$F$237,$B27&amp;"*")</f>
        <v>0</v>
      </c>
      <c r="H27" s="48">
        <f>COUNTIFS('PRODUCTS AND SERVICES'!$A$4:$A$237,"Community Planning and Development",'PRODUCTS AND SERVICES'!$F$4:$F$237,$B27&amp;"*")</f>
        <v>0</v>
      </c>
      <c r="I27" s="48">
        <f>COUNTIFS('PRODUCTS AND SERVICES'!$A$4:$A$237,"Community Planning and Development",'PRODUCTS AND SERVICES'!$F$4:$F$237,$B27&amp;"*")</f>
        <v>0</v>
      </c>
      <c r="J27" s="48">
        <f>COUNTIFS('PRODUCTS AND SERVICES'!$A$4:$A$237,"Fair Housing and Equal Opportunity",'PRODUCTS AND SERVICES'!$F$4:$F$237,$B27&amp;"*")</f>
        <v>0</v>
      </c>
      <c r="K27" s="48">
        <f>COUNTIFS('PRODUCTS AND SERVICES'!$A$4:$A$237,"Field Policy &amp; Management",'PRODUCTS AND SERVICES'!$F$4:$F$237,$B27&amp;"*")</f>
        <v>0</v>
      </c>
      <c r="L27" s="48">
        <f>COUNTIFS('PRODUCTS AND SERVICES'!$A$4:$A$237,"General Counsel",'PRODUCTS AND SERVICES'!$F$4:$F$237,$B27&amp;"*")</f>
        <v>0</v>
      </c>
      <c r="M27" s="48">
        <f>COUNTIFS('PRODUCTS AND SERVICES'!$A$4:$A$237,"Ginnie Mae",'PRODUCTS AND SERVICES'!$F$4:$F$237,$B27&amp;"*")</f>
        <v>0</v>
      </c>
      <c r="N27" s="48">
        <f>COUNTIFS('PRODUCTS AND SERVICES'!$A$4:$A$237,"Housing",'PRODUCTS AND SERVICES'!$F$4:$F$237,$B27&amp;"*")</f>
        <v>2</v>
      </c>
      <c r="O27" s="48">
        <f>COUNTIFS('PRODUCTS AND SERVICES'!$A$4:$A$237,"Lead Hazard Control and Healthy Homes",'PRODUCTS AND SERVICES'!$F$4:$F$237,$B27&amp;"*")</f>
        <v>0</v>
      </c>
      <c r="P27" s="48">
        <f>COUNTIFS('PRODUCTS AND SERVICES'!$A$4:$A$237,"Policy Development and Research",'PRODUCTS AND SERVICES'!$F$4:$F$237,$B27&amp;"*")</f>
        <v>0</v>
      </c>
      <c r="Q27" s="48">
        <f>COUNTIFS('PRODUCTS AND SERVICES'!$A$4:$A$237,"Public and Indian Housing",'PRODUCTS AND SERVICES'!$F$4:$F$237,$B27&amp;"*")</f>
        <v>0</v>
      </c>
      <c r="R27" s="48">
        <f>COUNTIFS('PRODUCTS AND SERVICES'!$A$4:$A$237,"Secretary",'PRODUCTS AND SERVICES'!$F$4:$F$237,$B27&amp;"*")</f>
        <v>0</v>
      </c>
      <c r="S27" s="49">
        <f>SUM(C27:R27)</f>
        <v>2</v>
      </c>
      <c r="T27" s="50">
        <f t="shared" si="5"/>
        <v>8.5470085470085479E-3</v>
      </c>
    </row>
    <row r="28" spans="1:26" x14ac:dyDescent="0.3">
      <c r="A28" s="33" t="s">
        <v>837</v>
      </c>
      <c r="B28" s="47" t="s">
        <v>476</v>
      </c>
      <c r="C28" s="48">
        <f>COUNTIFS('PRODUCTS AND SERVICES'!$A$4:$A$237,"Administration",'PRODUCTS AND SERVICES'!$F$4:$F$237,$B28&amp;"*")</f>
        <v>0</v>
      </c>
      <c r="D28" s="48">
        <f>COUNTIFS('PRODUCTS AND SERVICES'!$A$4:$A$237,"Chief Financial Officer",'PRODUCTS AND SERVICES'!$F$4:$F$237,$B28&amp;"*")</f>
        <v>0</v>
      </c>
      <c r="E28" s="48">
        <f>COUNTIFS('PRODUCTS AND SERVICES'!$A$4:$A$237,"Chief Human Capital Officer",'PRODUCTS AND SERVICES'!$F$4:$F$237,$B28&amp;"*")</f>
        <v>0</v>
      </c>
      <c r="F28" s="48">
        <f>COUNTIFS('PRODUCTS AND SERVICES'!$A$4:$A$237,"Chief Information Officer",'PRODUCTS AND SERVICES'!$F$4:$F$237,$B28&amp;"*")</f>
        <v>0</v>
      </c>
      <c r="G28" s="63">
        <f>COUNTIFS('PRODUCTS AND SERVICES'!$A$4:$A$237,"Chief Procurement Officer",'PRODUCTS AND SERVICES'!$F$4:$F$237,$B28&amp;"*")</f>
        <v>0</v>
      </c>
      <c r="H28" s="48">
        <f>COUNTIFS('PRODUCTS AND SERVICES'!$A$4:$A$237,"Community Planning and Development",'PRODUCTS AND SERVICES'!$F$4:$F$237,$B28&amp;"*")</f>
        <v>0</v>
      </c>
      <c r="I28" s="48">
        <f>COUNTIFS('PRODUCTS AND SERVICES'!$A$4:$A$237,"Community Planning and Development",'PRODUCTS AND SERVICES'!$F$4:$F$237,$B28&amp;"*")</f>
        <v>0</v>
      </c>
      <c r="J28" s="48">
        <f>COUNTIFS('PRODUCTS AND SERVICES'!$A$4:$A$237,"Fair Housing and Equal Opportunity",'PRODUCTS AND SERVICES'!$F$4:$F$237,$B28&amp;"*")</f>
        <v>0</v>
      </c>
      <c r="K28" s="48">
        <f>COUNTIFS('PRODUCTS AND SERVICES'!$A$4:$A$237,"Field Policy &amp; Management",'PRODUCTS AND SERVICES'!$F$4:$F$237,$B28&amp;"*")</f>
        <v>0</v>
      </c>
      <c r="L28" s="48">
        <f>COUNTIFS('PRODUCTS AND SERVICES'!$A$4:$A$237,"General Counsel",'PRODUCTS AND SERVICES'!$F$4:$F$237,$B28&amp;"*")</f>
        <v>0</v>
      </c>
      <c r="M28" s="48">
        <f>COUNTIFS('PRODUCTS AND SERVICES'!$A$4:$A$237,"Ginnie Mae",'PRODUCTS AND SERVICES'!$F$4:$F$237,$B28&amp;"*")</f>
        <v>0</v>
      </c>
      <c r="N28" s="48">
        <f>COUNTIFS('PRODUCTS AND SERVICES'!$A$4:$A$237,"Housing",'PRODUCTS AND SERVICES'!$F$4:$F$237,$B28&amp;"*")</f>
        <v>1</v>
      </c>
      <c r="O28" s="48">
        <f>COUNTIFS('PRODUCTS AND SERVICES'!$A$4:$A$237,"Lead Hazard Control and Healthy Homes",'PRODUCTS AND SERVICES'!$F$4:$F$237,$B28&amp;"*")</f>
        <v>0</v>
      </c>
      <c r="P28" s="48">
        <f>COUNTIFS('PRODUCTS AND SERVICES'!$A$4:$A$237,"Policy Development and Research",'PRODUCTS AND SERVICES'!$F$4:$F$237,$B28&amp;"*")</f>
        <v>0</v>
      </c>
      <c r="Q28" s="48">
        <f>COUNTIFS('PRODUCTS AND SERVICES'!$A$4:$A$237,"Public and Indian Housing",'PRODUCTS AND SERVICES'!$F$4:$F$237,$B28&amp;"*")</f>
        <v>0</v>
      </c>
      <c r="R28" s="48">
        <f>COUNTIFS('PRODUCTS AND SERVICES'!$A$4:$A$237,"Secretary",'PRODUCTS AND SERVICES'!$F$4:$F$237,$B28&amp;"*")</f>
        <v>0</v>
      </c>
      <c r="S28" s="49">
        <f>SUM(C28:R28)</f>
        <v>1</v>
      </c>
      <c r="T28" s="50">
        <f t="shared" si="5"/>
        <v>4.2735042735042739E-3</v>
      </c>
    </row>
    <row r="29" spans="1:26" x14ac:dyDescent="0.3">
      <c r="A29" s="33" t="s">
        <v>838</v>
      </c>
      <c r="B29" s="47" t="s">
        <v>774</v>
      </c>
      <c r="C29" s="48">
        <f>COUNTIFS('PRODUCTS AND SERVICES'!$A$4:$A$237,"Administration",'PRODUCTS AND SERVICES'!$F$4:$F$237,$B29&amp;"*")</f>
        <v>0</v>
      </c>
      <c r="D29" s="48">
        <f>COUNTIFS('PRODUCTS AND SERVICES'!$A$4:$A$237,"Chief Financial Officer",'PRODUCTS AND SERVICES'!$F$4:$F$237,$B29&amp;"*")</f>
        <v>0</v>
      </c>
      <c r="E29" s="48">
        <f>COUNTIFS('PRODUCTS AND SERVICES'!$A$4:$A$237,"Chief Human Capital Officer",'PRODUCTS AND SERVICES'!$F$4:$F$237,$B29&amp;"*")</f>
        <v>0</v>
      </c>
      <c r="F29" s="48">
        <f>COUNTIFS('PRODUCTS AND SERVICES'!$A$4:$A$237,"Chief Information Officer",'PRODUCTS AND SERVICES'!$F$4:$F$237,$B29&amp;"*")</f>
        <v>0</v>
      </c>
      <c r="G29" s="63">
        <f>COUNTIFS('PRODUCTS AND SERVICES'!$A$4:$A$237,"Chief Procurement Officer",'PRODUCTS AND SERVICES'!$F$4:$F$237,$B29&amp;"*")</f>
        <v>0</v>
      </c>
      <c r="H29" s="48">
        <f>COUNTIFS('PRODUCTS AND SERVICES'!$A$4:$A$237,"Community Planning and Development",'PRODUCTS AND SERVICES'!$F$4:$F$237,$B29&amp;"*")</f>
        <v>0</v>
      </c>
      <c r="I29" s="48">
        <f>COUNTIFS('PRODUCTS AND SERVICES'!$A$4:$A$237,"Community Planning and Development",'PRODUCTS AND SERVICES'!$F$4:$F$237,$B29&amp;"*")</f>
        <v>0</v>
      </c>
      <c r="J29" s="48">
        <f>COUNTIFS('PRODUCTS AND SERVICES'!$A$4:$A$237,"Fair Housing and Equal Opportunity",'PRODUCTS AND SERVICES'!$F$4:$F$237,$B29&amp;"*")</f>
        <v>0</v>
      </c>
      <c r="K29" s="48">
        <f>COUNTIFS('PRODUCTS AND SERVICES'!$A$4:$A$237,"Field Policy &amp; Management",'PRODUCTS AND SERVICES'!$F$4:$F$237,$B29&amp;"*")</f>
        <v>0</v>
      </c>
      <c r="L29" s="48">
        <f>COUNTIFS('PRODUCTS AND SERVICES'!$A$4:$A$237,"General Counsel",'PRODUCTS AND SERVICES'!$F$4:$F$237,$B29&amp;"*")</f>
        <v>0</v>
      </c>
      <c r="M29" s="48">
        <f>COUNTIFS('PRODUCTS AND SERVICES'!$A$4:$A$237,"Ginnie Mae",'PRODUCTS AND SERVICES'!$F$4:$F$237,$B29&amp;"*")</f>
        <v>0</v>
      </c>
      <c r="N29" s="48">
        <f>COUNTIFS('PRODUCTS AND SERVICES'!$A$4:$A$237,"Housing",'PRODUCTS AND SERVICES'!$F$4:$F$237,$B29&amp;"*")</f>
        <v>0</v>
      </c>
      <c r="O29" s="48">
        <f>COUNTIFS('PRODUCTS AND SERVICES'!$A$4:$A$237,"Lead Hazard Control and Healthy Homes",'PRODUCTS AND SERVICES'!$F$4:$F$237,$B29&amp;"*")</f>
        <v>0</v>
      </c>
      <c r="P29" s="48">
        <f>COUNTIFS('PRODUCTS AND SERVICES'!$A$4:$A$237,"Policy Development and Research",'PRODUCTS AND SERVICES'!$F$4:$F$237,$B29&amp;"*")</f>
        <v>1</v>
      </c>
      <c r="Q29" s="48">
        <f>COUNTIFS('PRODUCTS AND SERVICES'!$A$4:$A$237,"Public and Indian Housing",'PRODUCTS AND SERVICES'!$F$4:$F$237,$B29&amp;"*")</f>
        <v>0</v>
      </c>
      <c r="R29" s="48">
        <f>COUNTIFS('PRODUCTS AND SERVICES'!$A$4:$A$237,"Secretary",'PRODUCTS AND SERVICES'!$F$4:$F$237,$B29&amp;"*")</f>
        <v>0</v>
      </c>
      <c r="S29" s="49">
        <f>SUM(C29:R29)</f>
        <v>1</v>
      </c>
      <c r="T29" s="50">
        <f t="shared" si="5"/>
        <v>4.2735042735042739E-3</v>
      </c>
    </row>
    <row r="30" spans="1:26" x14ac:dyDescent="0.3">
      <c r="A30" s="33" t="s">
        <v>230</v>
      </c>
      <c r="B30" s="47">
        <v>541511</v>
      </c>
      <c r="C30" s="48">
        <f>COUNTIFS('PRODUCTS AND SERVICES'!$A$4:$A$238,"Administration",'PRODUCTS AND SERVICES'!$F$4:$F$238,$B30&amp;"*")</f>
        <v>0</v>
      </c>
      <c r="D30" s="48">
        <f>COUNTIFS('PRODUCTS AND SERVICES'!$A$4:$A$238,"Chief Financial Officer",'PRODUCTS AND SERVICES'!$F$4:$F$238,$B30&amp;"*")</f>
        <v>0</v>
      </c>
      <c r="E30" s="48">
        <f>COUNTIFS('PRODUCTS AND SERVICES'!$A$4:$A$238,"Chief Human Capital Officer",'PRODUCTS AND SERVICES'!$F$4:$F$238,$B30&amp;"*")</f>
        <v>1</v>
      </c>
      <c r="F30" s="48">
        <f>COUNTIFS('PRODUCTS AND SERVICES'!$A$4:$A$238,"Chief Information Officer",'PRODUCTS AND SERVICES'!$F$4:$F$238,$B30&amp;"*")</f>
        <v>2</v>
      </c>
      <c r="G30" s="34">
        <f>COUNTIFS('PRODUCTS AND SERVICES'!$A$4:$A$238,"Chief Procurement Officer",'PRODUCTS AND SERVICES'!$F$4:$F$238,$B30&amp;"*")</f>
        <v>0</v>
      </c>
      <c r="H30" s="48">
        <f>COUNTIFS('PRODUCTS AND SERVICES'!$A$4:$A$238,"Community Planning and Development",'PRODUCTS AND SERVICES'!$F$4:$F$238,$B30&amp;"*")</f>
        <v>0</v>
      </c>
      <c r="I30" s="48">
        <f>COUNTIFS('PRODUCTS AND SERVICES'!$A$4:$A$238,"Departmental Equal Employment Opportunity",'PRODUCTS AND SERVICES'!$F$4:$F$238,$B30&amp;"*")</f>
        <v>0</v>
      </c>
      <c r="J30" s="48">
        <f>COUNTIFS('PRODUCTS AND SERVICES'!$A$4:$A$238,"Fair Housing and Equal Opportunity",'PRODUCTS AND SERVICES'!$F$4:$F$238,$B30&amp;"*")</f>
        <v>1</v>
      </c>
      <c r="K30" s="48">
        <f>COUNTIFS('PRODUCTS AND SERVICES'!$A$4:$A$238,"Field Policy and Management",'PRODUCTS AND SERVICES'!$F$4:$F$238,$B30&amp;"*")</f>
        <v>0</v>
      </c>
      <c r="L30" s="48">
        <f>COUNTIFS('PRODUCTS AND SERVICES'!$A$4:$A$238,"General Counsel",'PRODUCTS AND SERVICES'!$F$4:$F$238,$B30&amp;"*")</f>
        <v>0</v>
      </c>
      <c r="M30" s="48">
        <f>COUNTIFS('PRODUCTS AND SERVICES'!$A$4:$A$238,"Ginnie Mae",'PRODUCTS AND SERVICES'!$F$4:$F$238,$B30&amp;"*")</f>
        <v>2</v>
      </c>
      <c r="N30" s="48">
        <f>COUNTIFS('PRODUCTS AND SERVICES'!$A$4:$A$238,"Housing",'PRODUCTS AND SERVICES'!$F$4:$F$238,$B30&amp;"*")</f>
        <v>0</v>
      </c>
      <c r="O30" s="48">
        <f>COUNTIFS('PRODUCTS AND SERVICES'!$A$4:$A$238,"Lead Hazard Control and Healthy Homes",'PRODUCTS AND SERVICES'!$F$4:$F$238,$B30&amp;"*")</f>
        <v>0</v>
      </c>
      <c r="P30" s="48">
        <f>COUNTIFS('PRODUCTS AND SERVICES'!$A$4:$A$238,"Policy Development and Research",'PRODUCTS AND SERVICES'!$F$4:$F$238,$B30&amp;"*")</f>
        <v>0</v>
      </c>
      <c r="Q30" s="48">
        <f>COUNTIFS('PRODUCTS AND SERVICES'!$A$4:$A$238,"Public and Indian Housing",'PRODUCTS AND SERVICES'!$F$4:$F$238,$B30&amp;"*")</f>
        <v>0</v>
      </c>
      <c r="R30" s="48">
        <f>COUNTIFS('PRODUCTS AND SERVICES'!$A$4:$A$238,"Secretary",'PRODUCTS AND SERVICES'!$F$4:$F$238,$B30&amp;"*")</f>
        <v>0</v>
      </c>
      <c r="S30" s="49">
        <f t="shared" si="0"/>
        <v>6</v>
      </c>
      <c r="T30" s="82">
        <f t="shared" si="5"/>
        <v>2.564102564102564E-2</v>
      </c>
    </row>
    <row r="31" spans="1:26" x14ac:dyDescent="0.3">
      <c r="A31" s="33" t="s">
        <v>231</v>
      </c>
      <c r="B31" s="47">
        <v>541512</v>
      </c>
      <c r="C31" s="48">
        <f>COUNTIFS('PRODUCTS AND SERVICES'!$A$4:$A$238,"Administration",'PRODUCTS AND SERVICES'!$F$4:$F$238,$B31&amp;"*")</f>
        <v>0</v>
      </c>
      <c r="D31" s="48">
        <f>COUNTIFS('PRODUCTS AND SERVICES'!$A$4:$A$238,"Chief Financial Officer",'PRODUCTS AND SERVICES'!$F$4:$F$238,$B31&amp;"*")</f>
        <v>2</v>
      </c>
      <c r="E31" s="48">
        <f>COUNTIFS('PRODUCTS AND SERVICES'!$A$4:$A$238,"Chief Human Capital Officer",'PRODUCTS AND SERVICES'!$F$4:$F$238,$B31&amp;"*")</f>
        <v>0</v>
      </c>
      <c r="F31" s="48">
        <f>COUNTIFS('PRODUCTS AND SERVICES'!$A$4:$A$238,"Chief Information Officer",'PRODUCTS AND SERVICES'!$F$4:$F$238,$B31&amp;"*")</f>
        <v>1</v>
      </c>
      <c r="G31" s="34">
        <f>COUNTIFS('PRODUCTS AND SERVICES'!$A$4:$A$238,"Chief Procurement Officer",'PRODUCTS AND SERVICES'!$F$4:$F$238,$B31&amp;"*")</f>
        <v>0</v>
      </c>
      <c r="H31" s="48">
        <f>COUNTIFS('PRODUCTS AND SERVICES'!$A$4:$A$238,"Community Planning and Development",'PRODUCTS AND SERVICES'!$F$4:$F$238,$B31&amp;"*")</f>
        <v>0</v>
      </c>
      <c r="I31" s="48">
        <f>COUNTIFS('PRODUCTS AND SERVICES'!$A$4:$A$238,"Departmental Equal Employment Opportunity",'PRODUCTS AND SERVICES'!$F$4:$F$238,$B31&amp;"*")</f>
        <v>0</v>
      </c>
      <c r="J31" s="48">
        <f>COUNTIFS('PRODUCTS AND SERVICES'!$A$4:$A$238,"Fair Housing and Equal Opportunity",'PRODUCTS AND SERVICES'!$F$4:$F$238,$B31&amp;"*")</f>
        <v>0</v>
      </c>
      <c r="K31" s="48">
        <f>COUNTIFS('PRODUCTS AND SERVICES'!$A$4:$A$238,"Field Policy and Management",'PRODUCTS AND SERVICES'!$F$4:$F$238,$B31&amp;"*")</f>
        <v>0</v>
      </c>
      <c r="L31" s="48">
        <f>COUNTIFS('PRODUCTS AND SERVICES'!$A$4:$A$238,"General Counsel",'PRODUCTS AND SERVICES'!$F$4:$F$238,$B31&amp;"*")</f>
        <v>0</v>
      </c>
      <c r="M31" s="48">
        <f>COUNTIFS('PRODUCTS AND SERVICES'!$A$4:$A$238,"Ginnie Mae",'PRODUCTS AND SERVICES'!$F$4:$F$238,$B31&amp;"*")</f>
        <v>1</v>
      </c>
      <c r="N31" s="48">
        <f>COUNTIFS('PRODUCTS AND SERVICES'!$A$4:$A$238,"Housing",'PRODUCTS AND SERVICES'!$F$4:$F$238,$B31&amp;"*")</f>
        <v>0</v>
      </c>
      <c r="O31" s="48">
        <f>COUNTIFS('PRODUCTS AND SERVICES'!$A$4:$A$238,"Lead Hazard Control and Healthy Homes",'PRODUCTS AND SERVICES'!$F$4:$F$238,$B31&amp;"*")</f>
        <v>0</v>
      </c>
      <c r="P31" s="48">
        <f>COUNTIFS('PRODUCTS AND SERVICES'!$A$4:$A$238,"Policy Development and Research",'PRODUCTS AND SERVICES'!$F$4:$F$238,$B31&amp;"*")</f>
        <v>0</v>
      </c>
      <c r="Q31" s="48">
        <f>COUNTIFS('PRODUCTS AND SERVICES'!$A$4:$A$238,"Public and Indian Housing",'PRODUCTS AND SERVICES'!$F$4:$F$238,$B31&amp;"*")</f>
        <v>0</v>
      </c>
      <c r="R31" s="48">
        <f>COUNTIFS('PRODUCTS AND SERVICES'!$A$4:$A$238,"Secretary",'PRODUCTS AND SERVICES'!$F$4:$F$238,$B31&amp;"*")</f>
        <v>0</v>
      </c>
      <c r="S31" s="49">
        <f t="shared" si="0"/>
        <v>4</v>
      </c>
      <c r="T31" s="82">
        <f t="shared" si="5"/>
        <v>1.7094017094017096E-2</v>
      </c>
    </row>
    <row r="32" spans="1:26" x14ac:dyDescent="0.3">
      <c r="A32" s="33" t="s">
        <v>839</v>
      </c>
      <c r="B32" s="47" t="s">
        <v>368</v>
      </c>
      <c r="C32" s="48">
        <f>COUNTIFS('PRODUCTS AND SERVICES'!$A$4:$A$237,"Administration",'PRODUCTS AND SERVICES'!$F$4:$F$237,$B32&amp;"*")</f>
        <v>0</v>
      </c>
      <c r="D32" s="48">
        <f>COUNTIFS('PRODUCTS AND SERVICES'!$A$4:$A$237,"Chief Financial Officer",'PRODUCTS AND SERVICES'!$F$4:$F$237,$B32&amp;"*")</f>
        <v>0</v>
      </c>
      <c r="E32" s="48">
        <f>COUNTIFS('PRODUCTS AND SERVICES'!$A$4:$A$237,"Chief Human Capital Officer",'PRODUCTS AND SERVICES'!$F$4:$F$237,$B32&amp;"*")</f>
        <v>0</v>
      </c>
      <c r="F32" s="48">
        <f>COUNTIFS('PRODUCTS AND SERVICES'!$A$4:$A$237,"Chief Information Officer",'PRODUCTS AND SERVICES'!$F$4:$F$237,$B32&amp;"*")</f>
        <v>1</v>
      </c>
      <c r="G32" s="63">
        <f>COUNTIFS('PRODUCTS AND SERVICES'!$A$4:$A$237,"Chief Procurement Officer",'PRODUCTS AND SERVICES'!$F$4:$F$237,$B32&amp;"*")</f>
        <v>0</v>
      </c>
      <c r="H32" s="48">
        <f>COUNTIFS('PRODUCTS AND SERVICES'!$A$4:$A$237,"Community Planning and Development",'PRODUCTS AND SERVICES'!$F$4:$F$237,$B32&amp;"*")</f>
        <v>0</v>
      </c>
      <c r="I32" s="48">
        <f>COUNTIFS('PRODUCTS AND SERVICES'!$A$4:$A$237,"Community Planning and Development",'PRODUCTS AND SERVICES'!$F$4:$F$237,$B32&amp;"*")</f>
        <v>0</v>
      </c>
      <c r="J32" s="48">
        <f>COUNTIFS('PRODUCTS AND SERVICES'!$A$4:$A$237,"Fair Housing and Equal Opportunity",'PRODUCTS AND SERVICES'!$F$4:$F$237,$B32&amp;"*")</f>
        <v>0</v>
      </c>
      <c r="K32" s="48">
        <f>COUNTIFS('PRODUCTS AND SERVICES'!$A$4:$A$237,"Field Policy &amp; Management",'PRODUCTS AND SERVICES'!$F$4:$F$237,$B32&amp;"*")</f>
        <v>0</v>
      </c>
      <c r="L32" s="48">
        <f>COUNTIFS('PRODUCTS AND SERVICES'!$A$4:$A$237,"General Counsel",'PRODUCTS AND SERVICES'!$F$4:$F$237,$B32&amp;"*")</f>
        <v>0</v>
      </c>
      <c r="M32" s="48">
        <f>COUNTIFS('PRODUCTS AND SERVICES'!$A$4:$A$237,"Ginnie Mae",'PRODUCTS AND SERVICES'!$F$4:$F$237,$B32&amp;"*")</f>
        <v>1</v>
      </c>
      <c r="N32" s="48">
        <f>COUNTIFS('PRODUCTS AND SERVICES'!$A$4:$A$237,"Housing",'PRODUCTS AND SERVICES'!$F$4:$F$237,$B32&amp;"*")</f>
        <v>0</v>
      </c>
      <c r="O32" s="48">
        <f>COUNTIFS('PRODUCTS AND SERVICES'!$A$4:$A$237,"Lead Hazard Control and Healthy Homes",'PRODUCTS AND SERVICES'!$F$4:$F$237,$B32&amp;"*")</f>
        <v>0</v>
      </c>
      <c r="P32" s="48">
        <f>COUNTIFS('PRODUCTS AND SERVICES'!$A$4:$A$237,"Policy Development and Research",'PRODUCTS AND SERVICES'!$F$4:$F$237,$B32&amp;"*")</f>
        <v>0</v>
      </c>
      <c r="Q32" s="48">
        <f>COUNTIFS('PRODUCTS AND SERVICES'!$A$4:$A$237,"Public and Indian Housing",'PRODUCTS AND SERVICES'!$F$4:$F$237,$B32&amp;"*")</f>
        <v>0</v>
      </c>
      <c r="R32" s="48">
        <f>COUNTIFS('PRODUCTS AND SERVICES'!$A$4:$A$237,"Secretary",'PRODUCTS AND SERVICES'!$F$4:$F$237,$B32&amp;"*")</f>
        <v>0</v>
      </c>
      <c r="S32" s="49">
        <f>SUM(C32:R32)</f>
        <v>2</v>
      </c>
      <c r="T32" s="82">
        <f t="shared" si="5"/>
        <v>8.5470085470085479E-3</v>
      </c>
    </row>
    <row r="33" spans="1:20" x14ac:dyDescent="0.3">
      <c r="A33" s="33" t="s">
        <v>232</v>
      </c>
      <c r="B33" s="47">
        <v>541519</v>
      </c>
      <c r="C33" s="48">
        <f>COUNTIFS('PRODUCTS AND SERVICES'!$A$4:$A$238,"Administration",'PRODUCTS AND SERVICES'!$F$4:$F$238,$B33&amp;"*")</f>
        <v>0</v>
      </c>
      <c r="D33" s="48">
        <f>COUNTIFS('PRODUCTS AND SERVICES'!$A$4:$A$238,"Chief Financial Officer",'PRODUCTS AND SERVICES'!$F$4:$F$238,$B33&amp;"*")</f>
        <v>0</v>
      </c>
      <c r="E33" s="48">
        <f>COUNTIFS('PRODUCTS AND SERVICES'!$A$4:$A$238,"Chief Human Capital Officer",'PRODUCTS AND SERVICES'!$F$4:$F$238,$B33&amp;"*")</f>
        <v>0</v>
      </c>
      <c r="F33" s="48">
        <f>COUNTIFS('PRODUCTS AND SERVICES'!$A$4:$A$238,"Chief Information Officer",'PRODUCTS AND SERVICES'!$F$4:$F$238,$B33&amp;"*")</f>
        <v>9</v>
      </c>
      <c r="G33" s="34">
        <f>COUNTIFS('PRODUCTS AND SERVICES'!$A$4:$A$238,"Chief Procurement Officer",'PRODUCTS AND SERVICES'!$F$4:$F$238,$B33&amp;"*")</f>
        <v>0</v>
      </c>
      <c r="H33" s="48">
        <f>COUNTIFS('PRODUCTS AND SERVICES'!$A$4:$A$238,"Community Planning and Development",'PRODUCTS AND SERVICES'!$F$4:$F$238,$B33&amp;"*")</f>
        <v>0</v>
      </c>
      <c r="I33" s="48">
        <f>COUNTIFS('PRODUCTS AND SERVICES'!$A$4:$A$238,"Departmental Equal Employment Opportunity",'PRODUCTS AND SERVICES'!$F$4:$F$238,$B33&amp;"*")</f>
        <v>0</v>
      </c>
      <c r="J33" s="48">
        <f>COUNTIFS('PRODUCTS AND SERVICES'!$A$4:$A$238,"Fair Housing and Equal Opportunity",'PRODUCTS AND SERVICES'!$F$4:$F$238,$B33&amp;"*")</f>
        <v>0</v>
      </c>
      <c r="K33" s="48">
        <f>COUNTIFS('PRODUCTS AND SERVICES'!$A$4:$A$238,"Field Policy and Management",'PRODUCTS AND SERVICES'!$F$4:$F$238,$B33&amp;"*")</f>
        <v>0</v>
      </c>
      <c r="L33" s="48">
        <f>COUNTIFS('PRODUCTS AND SERVICES'!$A$4:$A$238,"General Counsel",'PRODUCTS AND SERVICES'!$F$4:$F$238,$B33&amp;"*")</f>
        <v>0</v>
      </c>
      <c r="M33" s="48">
        <f>COUNTIFS('PRODUCTS AND SERVICES'!$A$4:$A$238,"Ginnie Mae",'PRODUCTS AND SERVICES'!$F$4:$F$238,$B33&amp;"*")</f>
        <v>2</v>
      </c>
      <c r="N33" s="48">
        <f>COUNTIFS('PRODUCTS AND SERVICES'!$A$4:$A$238,"Housing",'PRODUCTS AND SERVICES'!$F$4:$F$238,$B33&amp;"*")</f>
        <v>0</v>
      </c>
      <c r="O33" s="48">
        <f>COUNTIFS('PRODUCTS AND SERVICES'!$A$4:$A$238,"Lead Hazard Control and Healthy Homes",'PRODUCTS AND SERVICES'!$F$4:$F$238,$B33&amp;"*")</f>
        <v>0</v>
      </c>
      <c r="P33" s="48">
        <f>COUNTIFS('PRODUCTS AND SERVICES'!$A$4:$A$238,"Policy Development and Research",'PRODUCTS AND SERVICES'!$F$4:$F$238,$B33&amp;"*")</f>
        <v>0</v>
      </c>
      <c r="Q33" s="48">
        <f>COUNTIFS('PRODUCTS AND SERVICES'!$A$4:$A$238,"Public and Indian Housing",'PRODUCTS AND SERVICES'!$F$4:$F$238,$B33&amp;"*")</f>
        <v>0</v>
      </c>
      <c r="R33" s="48">
        <f>COUNTIFS('PRODUCTS AND SERVICES'!$A$4:$A$238,"Secretary",'PRODUCTS AND SERVICES'!$F$4:$F$238,$B33&amp;"*")</f>
        <v>0</v>
      </c>
      <c r="S33" s="49">
        <f t="shared" si="0"/>
        <v>11</v>
      </c>
      <c r="T33" s="82">
        <f t="shared" si="5"/>
        <v>4.7008547008547008E-2</v>
      </c>
    </row>
    <row r="34" spans="1:20" x14ac:dyDescent="0.3">
      <c r="A34" s="33" t="s">
        <v>233</v>
      </c>
      <c r="B34" s="47">
        <v>541611</v>
      </c>
      <c r="C34" s="48">
        <f>COUNTIFS('PRODUCTS AND SERVICES'!$A$4:$A$238,"Administration",'PRODUCTS AND SERVICES'!$F$4:$F$238,$B34&amp;"*")</f>
        <v>0</v>
      </c>
      <c r="D34" s="48">
        <f>COUNTIFS('PRODUCTS AND SERVICES'!$A$4:$A$238,"Chief Financial Officer",'PRODUCTS AND SERVICES'!$F$4:$F$238,$B34&amp;"*")</f>
        <v>0</v>
      </c>
      <c r="E34" s="48">
        <f>COUNTIFS('PRODUCTS AND SERVICES'!$A$4:$A$238,"Chief Human Capital Officer",'PRODUCTS AND SERVICES'!$F$4:$F$238,$B34&amp;"*")</f>
        <v>0</v>
      </c>
      <c r="F34" s="48">
        <f>COUNTIFS('PRODUCTS AND SERVICES'!$A$4:$A$238,"Chief Information Officer",'PRODUCTS AND SERVICES'!$F$4:$F$238,$B34&amp;"*")</f>
        <v>0</v>
      </c>
      <c r="G34" s="34">
        <f>COUNTIFS('PRODUCTS AND SERVICES'!$A$4:$A$238,"Chief Procurement Officer",'PRODUCTS AND SERVICES'!$F$4:$F$238,$B34&amp;"*")</f>
        <v>1</v>
      </c>
      <c r="H34" s="48">
        <f>COUNTIFS('PRODUCTS AND SERVICES'!$A$4:$A$238,"Community Planning and Development",'PRODUCTS AND SERVICES'!$F$4:$F$238,$B34&amp;"*")</f>
        <v>2</v>
      </c>
      <c r="I34" s="48">
        <f>COUNTIFS('PRODUCTS AND SERVICES'!$A$4:$A$238,"Departmental Equal Employment Opportunity",'PRODUCTS AND SERVICES'!$F$4:$F$238,$B34&amp;"*")</f>
        <v>0</v>
      </c>
      <c r="J34" s="48">
        <f>COUNTIFS('PRODUCTS AND SERVICES'!$A$4:$A$238,"Fair Housing and Equal Opportunity",'PRODUCTS AND SERVICES'!$F$4:$F$238,$B34&amp;"*")</f>
        <v>5</v>
      </c>
      <c r="K34" s="48">
        <f>COUNTIFS('PRODUCTS AND SERVICES'!$A$4:$A$238,"Field Policy and Management",'PRODUCTS AND SERVICES'!$F$4:$F$238,$B34&amp;"*")</f>
        <v>0</v>
      </c>
      <c r="L34" s="48">
        <f>COUNTIFS('PRODUCTS AND SERVICES'!$A$4:$A$238,"General Counsel",'PRODUCTS AND SERVICES'!$F$4:$F$238,$B34&amp;"*")</f>
        <v>0</v>
      </c>
      <c r="M34" s="48">
        <f>COUNTIFS('PRODUCTS AND SERVICES'!$A$4:$A$238,"Ginnie Mae",'PRODUCTS AND SERVICES'!$F$4:$F$238,$B34&amp;"*")</f>
        <v>3</v>
      </c>
      <c r="N34" s="48">
        <f>COUNTIFS('PRODUCTS AND SERVICES'!$A$4:$A$238,"Housing",'PRODUCTS AND SERVICES'!$F$4:$F$238,$B34&amp;"*")</f>
        <v>12</v>
      </c>
      <c r="O34" s="48">
        <f>COUNTIFS('PRODUCTS AND SERVICES'!$A$4:$A$238,"Lead Hazard Control and Healthy Homes",'PRODUCTS AND SERVICES'!$F$4:$F$238,$B34&amp;"*")</f>
        <v>0</v>
      </c>
      <c r="P34" s="48">
        <f>COUNTIFS('PRODUCTS AND SERVICES'!$A$4:$A$238,"Policy Development and Research",'PRODUCTS AND SERVICES'!$F$4:$F$238,$B34&amp;"*")</f>
        <v>15</v>
      </c>
      <c r="Q34" s="48">
        <f>COUNTIFS('PRODUCTS AND SERVICES'!$A$4:$A$238,"Public and Indian Housing",'PRODUCTS AND SERVICES'!$F$4:$F$238,$B34&amp;"*")</f>
        <v>19</v>
      </c>
      <c r="R34" s="48">
        <f>COUNTIFS('PRODUCTS AND SERVICES'!$A$4:$A$238,"Secretary",'PRODUCTS AND SERVICES'!$F$4:$F$238,$B34&amp;"*")</f>
        <v>0</v>
      </c>
      <c r="S34" s="49">
        <f t="shared" si="0"/>
        <v>57</v>
      </c>
      <c r="T34" s="82">
        <f t="shared" si="5"/>
        <v>0.24358974358974358</v>
      </c>
    </row>
    <row r="35" spans="1:20" x14ac:dyDescent="0.3">
      <c r="A35" s="33" t="s">
        <v>234</v>
      </c>
      <c r="B35" s="47">
        <v>541612</v>
      </c>
      <c r="C35" s="48">
        <f>COUNTIFS('PRODUCTS AND SERVICES'!$A$4:$A$238,"Administration",'PRODUCTS AND SERVICES'!$F$4:$F$238,$B35&amp;"*")</f>
        <v>0</v>
      </c>
      <c r="D35" s="48">
        <f>COUNTIFS('PRODUCTS AND SERVICES'!$A$4:$A$238,"Chief Financial Officer",'PRODUCTS AND SERVICES'!$F$4:$F$238,$B35&amp;"*")</f>
        <v>0</v>
      </c>
      <c r="E35" s="48">
        <f>COUNTIFS('PRODUCTS AND SERVICES'!$A$4:$A$238,"Chief Human Capital Officer",'PRODUCTS AND SERVICES'!$F$4:$F$238,$B35&amp;"*")</f>
        <v>2</v>
      </c>
      <c r="F35" s="48">
        <f>COUNTIFS('PRODUCTS AND SERVICES'!$A$4:$A$238,"Chief Information Officer",'PRODUCTS AND SERVICES'!$F$4:$F$238,$B35&amp;"*")</f>
        <v>0</v>
      </c>
      <c r="G35" s="34">
        <f>COUNTIFS('PRODUCTS AND SERVICES'!$A$4:$A$238,"Chief Procurement Officer",'PRODUCTS AND SERVICES'!$F$4:$F$238,$B35&amp;"*")</f>
        <v>0</v>
      </c>
      <c r="H35" s="48">
        <f>COUNTIFS('PRODUCTS AND SERVICES'!$A$4:$A$238,"Community Planning and Development",'PRODUCTS AND SERVICES'!$F$4:$F$238,$B35&amp;"*")</f>
        <v>0</v>
      </c>
      <c r="I35" s="48">
        <f>COUNTIFS('PRODUCTS AND SERVICES'!$A$4:$A$238,"Departmental Equal Employment Opportunity",'PRODUCTS AND SERVICES'!$F$4:$F$238,$B35&amp;"*")</f>
        <v>0</v>
      </c>
      <c r="J35" s="48">
        <f>COUNTIFS('PRODUCTS AND SERVICES'!$A$4:$A$238,"Fair Housing and Equal Opportunity",'PRODUCTS AND SERVICES'!$F$4:$F$238,$B35&amp;"*")</f>
        <v>0</v>
      </c>
      <c r="K35" s="48">
        <f>COUNTIFS('PRODUCTS AND SERVICES'!$A$4:$A$238,"Field Policy and Management",'PRODUCTS AND SERVICES'!$F$4:$F$238,$B35&amp;"*")</f>
        <v>0</v>
      </c>
      <c r="L35" s="48">
        <f>COUNTIFS('PRODUCTS AND SERVICES'!$A$4:$A$238,"General Counsel",'PRODUCTS AND SERVICES'!$F$4:$F$238,$B35&amp;"*")</f>
        <v>0</v>
      </c>
      <c r="M35" s="48">
        <f>COUNTIFS('PRODUCTS AND SERVICES'!$A$4:$A$238,"Ginnie Mae",'PRODUCTS AND SERVICES'!$F$4:$F$238,$B35&amp;"*")</f>
        <v>0</v>
      </c>
      <c r="N35" s="48">
        <f>COUNTIFS('PRODUCTS AND SERVICES'!$A$4:$A$238,"Housing",'PRODUCTS AND SERVICES'!$F$4:$F$238,$B35&amp;"*")</f>
        <v>0</v>
      </c>
      <c r="O35" s="48">
        <f>COUNTIFS('PRODUCTS AND SERVICES'!$A$4:$A$238,"Lead Hazard Control and Healthy Homes",'PRODUCTS AND SERVICES'!$F$4:$F$238,$B35&amp;"*")</f>
        <v>0</v>
      </c>
      <c r="P35" s="48">
        <f>COUNTIFS('PRODUCTS AND SERVICES'!$A$4:$A$238,"Policy Development and Research",'PRODUCTS AND SERVICES'!$F$4:$F$238,$B35&amp;"*")</f>
        <v>0</v>
      </c>
      <c r="Q35" s="48">
        <f>COUNTIFS('PRODUCTS AND SERVICES'!$A$4:$A$238,"Public and Indian Housing",'PRODUCTS AND SERVICES'!$F$4:$F$238,$B35&amp;"*")</f>
        <v>0</v>
      </c>
      <c r="R35" s="48">
        <f>COUNTIFS('PRODUCTS AND SERVICES'!$A$4:$A$238,"Secretary",'PRODUCTS AND SERVICES'!$F$4:$F$238,$B35&amp;"*")</f>
        <v>0</v>
      </c>
      <c r="S35" s="49">
        <f t="shared" si="0"/>
        <v>2</v>
      </c>
      <c r="T35" s="82">
        <f t="shared" si="5"/>
        <v>8.5470085470085479E-3</v>
      </c>
    </row>
    <row r="36" spans="1:20" x14ac:dyDescent="0.3">
      <c r="A36" s="33" t="s">
        <v>235</v>
      </c>
      <c r="B36" s="47">
        <v>541613</v>
      </c>
      <c r="C36" s="48">
        <f>COUNTIFS('PRODUCTS AND SERVICES'!$A$4:$A$238,"Administration",'PRODUCTS AND SERVICES'!$F$4:$F$238,$B36&amp;"*")</f>
        <v>0</v>
      </c>
      <c r="D36" s="48">
        <f>COUNTIFS('PRODUCTS AND SERVICES'!$A$4:$A$238,"Chief Financial Officer",'PRODUCTS AND SERVICES'!$F$4:$F$238,$B36&amp;"*")</f>
        <v>0</v>
      </c>
      <c r="E36" s="48">
        <f>COUNTIFS('PRODUCTS AND SERVICES'!$A$4:$A$238,"Chief Human Capital Officer",'PRODUCTS AND SERVICES'!$F$4:$F$238,$B36&amp;"*")</f>
        <v>0</v>
      </c>
      <c r="F36" s="48">
        <f>COUNTIFS('PRODUCTS AND SERVICES'!$A$4:$A$238,"Chief Information Officer",'PRODUCTS AND SERVICES'!$F$4:$F$238,$B36&amp;"*")</f>
        <v>0</v>
      </c>
      <c r="G36" s="34">
        <f>COUNTIFS('PRODUCTS AND SERVICES'!$A$4:$A$238,"Chief Procurement Officer",'PRODUCTS AND SERVICES'!$F$4:$F$238,$B36&amp;"*")</f>
        <v>0</v>
      </c>
      <c r="H36" s="48">
        <f>COUNTIFS('PRODUCTS AND SERVICES'!$A$4:$A$238,"Community Planning and Development",'PRODUCTS AND SERVICES'!$F$4:$F$238,$B36&amp;"*")</f>
        <v>0</v>
      </c>
      <c r="I36" s="48">
        <f>COUNTIFS('PRODUCTS AND SERVICES'!$A$4:$A$238,"Departmental Equal Employment Opportunity",'PRODUCTS AND SERVICES'!$F$4:$F$238,$B36&amp;"*")</f>
        <v>0</v>
      </c>
      <c r="J36" s="48">
        <f>COUNTIFS('PRODUCTS AND SERVICES'!$A$4:$A$238,"Fair Housing and Equal Opportunity",'PRODUCTS AND SERVICES'!$F$4:$F$238,$B36&amp;"*")</f>
        <v>1</v>
      </c>
      <c r="K36" s="48">
        <f>COUNTIFS('PRODUCTS AND SERVICES'!$A$4:$A$238,"Field Policy and Management",'PRODUCTS AND SERVICES'!$F$4:$F$238,$B36&amp;"*")</f>
        <v>0</v>
      </c>
      <c r="L36" s="48">
        <f>COUNTIFS('PRODUCTS AND SERVICES'!$A$4:$A$238,"General Counsel",'PRODUCTS AND SERVICES'!$F$4:$F$238,$B36&amp;"*")</f>
        <v>0</v>
      </c>
      <c r="M36" s="48">
        <f>COUNTIFS('PRODUCTS AND SERVICES'!$A$4:$A$238,"Ginnie Mae",'PRODUCTS AND SERVICES'!$F$4:$F$238,$B36&amp;"*")</f>
        <v>0</v>
      </c>
      <c r="N36" s="48">
        <f>COUNTIFS('PRODUCTS AND SERVICES'!$A$4:$A$238,"Housing",'PRODUCTS AND SERVICES'!$F$4:$F$238,$B36&amp;"*")</f>
        <v>0</v>
      </c>
      <c r="O36" s="48">
        <f>COUNTIFS('PRODUCTS AND SERVICES'!$A$4:$A$238,"Lead Hazard Control and Healthy Homes",'PRODUCTS AND SERVICES'!$F$4:$F$238,$B36&amp;"*")</f>
        <v>1</v>
      </c>
      <c r="P36" s="48">
        <f>COUNTIFS('PRODUCTS AND SERVICES'!$A$4:$A$238,"Policy Development and Research",'PRODUCTS AND SERVICES'!$F$4:$F$238,$B36&amp;"*")</f>
        <v>0</v>
      </c>
      <c r="Q36" s="48">
        <f>COUNTIFS('PRODUCTS AND SERVICES'!$A$4:$A$238,"Public and Indian Housing",'PRODUCTS AND SERVICES'!$F$4:$F$238,$B36&amp;"*")</f>
        <v>0</v>
      </c>
      <c r="R36" s="48">
        <f>COUNTIFS('PRODUCTS AND SERVICES'!$A$4:$A$238,"Secretary",'PRODUCTS AND SERVICES'!$F$4:$F$238,$B36&amp;"*")</f>
        <v>0</v>
      </c>
      <c r="S36" s="49">
        <f t="shared" si="0"/>
        <v>2</v>
      </c>
      <c r="T36" s="82">
        <f t="shared" si="5"/>
        <v>8.5470085470085479E-3</v>
      </c>
    </row>
    <row r="37" spans="1:20" x14ac:dyDescent="0.3">
      <c r="A37" s="33" t="s">
        <v>236</v>
      </c>
      <c r="B37" s="47">
        <v>541614</v>
      </c>
      <c r="C37" s="48">
        <f>COUNTIFS('PRODUCTS AND SERVICES'!$A$4:$A$238,"Administration",'PRODUCTS AND SERVICES'!$F$4:$F$238,$B37&amp;"*")</f>
        <v>0</v>
      </c>
      <c r="D37" s="48">
        <f>COUNTIFS('PRODUCTS AND SERVICES'!$A$4:$A$238,"Chief Financial Officer",'PRODUCTS AND SERVICES'!$F$4:$F$238,$B37&amp;"*")</f>
        <v>0</v>
      </c>
      <c r="E37" s="48">
        <f>COUNTIFS('PRODUCTS AND SERVICES'!$A$4:$A$238,"Chief Human Capital Officer",'PRODUCTS AND SERVICES'!$F$4:$F$238,$B37&amp;"*")</f>
        <v>0</v>
      </c>
      <c r="F37" s="48">
        <f>COUNTIFS('PRODUCTS AND SERVICES'!$A$4:$A$238,"Chief Information Officer",'PRODUCTS AND SERVICES'!$F$4:$F$238,$B37&amp;"*")</f>
        <v>0</v>
      </c>
      <c r="G37" s="34">
        <f>COUNTIFS('PRODUCTS AND SERVICES'!$A$4:$A$238,"Chief Procurement Officer",'PRODUCTS AND SERVICES'!$F$4:$F$238,$B37&amp;"*")</f>
        <v>0</v>
      </c>
      <c r="H37" s="48">
        <f>COUNTIFS('PRODUCTS AND SERVICES'!$A$4:$A$238,"Community Planning and Development",'PRODUCTS AND SERVICES'!$F$4:$F$238,$B37&amp;"*")</f>
        <v>0</v>
      </c>
      <c r="I37" s="48">
        <f>COUNTIFS('PRODUCTS AND SERVICES'!$A$4:$A$238,"Departmental Equal Employment Opportunity",'PRODUCTS AND SERVICES'!$F$4:$F$238,$B37&amp;"*")</f>
        <v>0</v>
      </c>
      <c r="J37" s="48">
        <f>COUNTIFS('PRODUCTS AND SERVICES'!$A$4:$A$238,"Fair Housing and Equal Opportunity",'PRODUCTS AND SERVICES'!$F$4:$F$238,$B37&amp;"*")</f>
        <v>0</v>
      </c>
      <c r="K37" s="48">
        <f>COUNTIFS('PRODUCTS AND SERVICES'!$A$4:$A$238,"Field Policy and Management",'PRODUCTS AND SERVICES'!$F$4:$F$238,$B37&amp;"*")</f>
        <v>0</v>
      </c>
      <c r="L37" s="48">
        <f>COUNTIFS('PRODUCTS AND SERVICES'!$A$4:$A$238,"General Counsel",'PRODUCTS AND SERVICES'!$F$4:$F$238,$B37&amp;"*")</f>
        <v>0</v>
      </c>
      <c r="M37" s="48">
        <f>COUNTIFS('PRODUCTS AND SERVICES'!$A$4:$A$238,"Ginnie Mae",'PRODUCTS AND SERVICES'!$F$4:$F$238,$B37&amp;"*")</f>
        <v>0</v>
      </c>
      <c r="N37" s="48">
        <f>COUNTIFS('PRODUCTS AND SERVICES'!$A$4:$A$238,"Housing",'PRODUCTS AND SERVICES'!$F$4:$F$238,$B37&amp;"*")</f>
        <v>0</v>
      </c>
      <c r="O37" s="48">
        <f>COUNTIFS('PRODUCTS AND SERVICES'!$A$4:$A$238,"Lead Hazard Control and Healthy Homes",'PRODUCTS AND SERVICES'!$F$4:$F$238,$B37&amp;"*")</f>
        <v>0</v>
      </c>
      <c r="P37" s="48">
        <f>COUNTIFS('PRODUCTS AND SERVICES'!$A$4:$A$238,"Policy Development and Research",'PRODUCTS AND SERVICES'!$F$4:$F$238,$B37&amp;"*")</f>
        <v>0</v>
      </c>
      <c r="Q37" s="48">
        <f>COUNTIFS('PRODUCTS AND SERVICES'!$A$4:$A$238,"Public and Indian Housing",'PRODUCTS AND SERVICES'!$F$4:$F$238,$B37&amp;"*")</f>
        <v>1</v>
      </c>
      <c r="R37" s="48">
        <f>COUNTIFS('PRODUCTS AND SERVICES'!$A$4:$A$238,"Secretary",'PRODUCTS AND SERVICES'!$F$4:$F$238,$B37&amp;"*")</f>
        <v>0</v>
      </c>
      <c r="S37" s="49">
        <f t="shared" si="0"/>
        <v>1</v>
      </c>
      <c r="T37" s="82">
        <f t="shared" si="5"/>
        <v>4.2735042735042739E-3</v>
      </c>
    </row>
    <row r="38" spans="1:20" x14ac:dyDescent="0.3">
      <c r="A38" s="33" t="s">
        <v>237</v>
      </c>
      <c r="B38" s="47">
        <v>541618</v>
      </c>
      <c r="C38" s="48">
        <f>COUNTIFS('PRODUCTS AND SERVICES'!$A$4:$A$238,"Administration",'PRODUCTS AND SERVICES'!$F$4:$F$238,$B38&amp;"*")</f>
        <v>0</v>
      </c>
      <c r="D38" s="48">
        <f>COUNTIFS('PRODUCTS AND SERVICES'!$A$4:$A$238,"Chief Financial Officer",'PRODUCTS AND SERVICES'!$F$4:$F$238,$B38&amp;"*")</f>
        <v>0</v>
      </c>
      <c r="E38" s="48">
        <f>COUNTIFS('PRODUCTS AND SERVICES'!$A$4:$A$238,"Chief Human Capital Officer",'PRODUCTS AND SERVICES'!$F$4:$F$238,$B38&amp;"*")</f>
        <v>0</v>
      </c>
      <c r="F38" s="48">
        <f>COUNTIFS('PRODUCTS AND SERVICES'!$A$4:$A$238,"Chief Information Officer",'PRODUCTS AND SERVICES'!$F$4:$F$238,$B38&amp;"*")</f>
        <v>0</v>
      </c>
      <c r="G38" s="34">
        <f>COUNTIFS('PRODUCTS AND SERVICES'!$A$4:$A$238,"Chief Procurement Officer",'PRODUCTS AND SERVICES'!$F$4:$F$238,$B38&amp;"*")</f>
        <v>0</v>
      </c>
      <c r="H38" s="48">
        <f>COUNTIFS('PRODUCTS AND SERVICES'!$A$4:$A$238,"Community Planning and Development",'PRODUCTS AND SERVICES'!$F$4:$F$238,$B38&amp;"*")</f>
        <v>0</v>
      </c>
      <c r="I38" s="48">
        <f>COUNTIFS('PRODUCTS AND SERVICES'!$A$4:$A$238,"Departmental Equal Employment Opportunity",'PRODUCTS AND SERVICES'!$F$4:$F$238,$B38&amp;"*")</f>
        <v>0</v>
      </c>
      <c r="J38" s="48">
        <f>COUNTIFS('PRODUCTS AND SERVICES'!$A$4:$A$238,"Fair Housing and Equal Opportunity",'PRODUCTS AND SERVICES'!$F$4:$F$238,$B38&amp;"*")</f>
        <v>0</v>
      </c>
      <c r="K38" s="48">
        <f>COUNTIFS('PRODUCTS AND SERVICES'!$A$4:$A$238,"Field Policy and Management",'PRODUCTS AND SERVICES'!$F$4:$F$238,$B38&amp;"*")</f>
        <v>0</v>
      </c>
      <c r="L38" s="48">
        <f>COUNTIFS('PRODUCTS AND SERVICES'!$A$4:$A$238,"General Counsel",'PRODUCTS AND SERVICES'!$F$4:$F$238,$B38&amp;"*")</f>
        <v>0</v>
      </c>
      <c r="M38" s="48">
        <f>COUNTIFS('PRODUCTS AND SERVICES'!$A$4:$A$238,"Ginnie Mae",'PRODUCTS AND SERVICES'!$F$4:$F$238,$B38&amp;"*")</f>
        <v>0</v>
      </c>
      <c r="N38" s="48">
        <f>COUNTIFS('PRODUCTS AND SERVICES'!$A$4:$A$238,"Housing",'PRODUCTS AND SERVICES'!$F$4:$F$238,$B38&amp;"*")</f>
        <v>0</v>
      </c>
      <c r="O38" s="48">
        <f>COUNTIFS('PRODUCTS AND SERVICES'!$A$4:$A$238,"Lead Hazard Control and Healthy Homes",'PRODUCTS AND SERVICES'!$F$4:$F$238,$B38&amp;"*")</f>
        <v>0</v>
      </c>
      <c r="P38" s="48">
        <f>COUNTIFS('PRODUCTS AND SERVICES'!$A$4:$A$238,"Policy Development and Research",'PRODUCTS AND SERVICES'!$F$4:$F$238,$B38&amp;"*")</f>
        <v>3</v>
      </c>
      <c r="Q38" s="48">
        <f>COUNTIFS('PRODUCTS AND SERVICES'!$A$4:$A$238,"Public and Indian Housing",'PRODUCTS AND SERVICES'!$F$4:$F$238,$B38&amp;"*")</f>
        <v>0</v>
      </c>
      <c r="R38" s="48">
        <f>COUNTIFS('PRODUCTS AND SERVICES'!$A$4:$A$238,"Secretary",'PRODUCTS AND SERVICES'!$F$4:$F$238,$B38&amp;"*")</f>
        <v>0</v>
      </c>
      <c r="S38" s="49">
        <f t="shared" si="0"/>
        <v>3</v>
      </c>
      <c r="T38" s="82">
        <f t="shared" si="5"/>
        <v>1.282051282051282E-2</v>
      </c>
    </row>
    <row r="39" spans="1:20" x14ac:dyDescent="0.3">
      <c r="A39" s="33" t="s">
        <v>238</v>
      </c>
      <c r="B39" s="47">
        <v>541620</v>
      </c>
      <c r="C39" s="48">
        <f>COUNTIFS('PRODUCTS AND SERVICES'!$A$4:$A$238,"Administration",'PRODUCTS AND SERVICES'!$F$4:$F$238,$B39&amp;"*")</f>
        <v>0</v>
      </c>
      <c r="D39" s="48">
        <f>COUNTIFS('PRODUCTS AND SERVICES'!$A$4:$A$238,"Chief Financial Officer",'PRODUCTS AND SERVICES'!$F$4:$F$238,$B39&amp;"*")</f>
        <v>0</v>
      </c>
      <c r="E39" s="48">
        <f>COUNTIFS('PRODUCTS AND SERVICES'!$A$4:$A$238,"Chief Human Capital Officer",'PRODUCTS AND SERVICES'!$F$4:$F$238,$B39&amp;"*")</f>
        <v>0</v>
      </c>
      <c r="F39" s="48">
        <f>COUNTIFS('PRODUCTS AND SERVICES'!$A$4:$A$238,"Chief Information Officer",'PRODUCTS AND SERVICES'!$F$4:$F$238,$B39&amp;"*")</f>
        <v>0</v>
      </c>
      <c r="G39" s="34">
        <f>COUNTIFS('PRODUCTS AND SERVICES'!$A$4:$A$238,"Chief Procurement Officer",'PRODUCTS AND SERVICES'!$F$4:$F$238,$B39&amp;"*")</f>
        <v>0</v>
      </c>
      <c r="H39" s="48">
        <f>COUNTIFS('PRODUCTS AND SERVICES'!$A$4:$A$238,"Community Planning and Development",'PRODUCTS AND SERVICES'!$F$4:$F$238,$B39&amp;"*")</f>
        <v>0</v>
      </c>
      <c r="I39" s="48">
        <f>COUNTIFS('PRODUCTS AND SERVICES'!$A$4:$A$238,"Departmental Equal Employment Opportunity",'PRODUCTS AND SERVICES'!$F$4:$F$238,$B39&amp;"*")</f>
        <v>0</v>
      </c>
      <c r="J39" s="48">
        <f>COUNTIFS('PRODUCTS AND SERVICES'!$A$4:$A$238,"Fair Housing and Equal Opportunity",'PRODUCTS AND SERVICES'!$F$4:$F$238,$B39&amp;"*")</f>
        <v>0</v>
      </c>
      <c r="K39" s="48">
        <f>COUNTIFS('PRODUCTS AND SERVICES'!$A$4:$A$238,"Field Policy and Management",'PRODUCTS AND SERVICES'!$F$4:$F$238,$B39&amp;"*")</f>
        <v>0</v>
      </c>
      <c r="L39" s="48">
        <f>COUNTIFS('PRODUCTS AND SERVICES'!$A$4:$A$238,"General Counsel",'PRODUCTS AND SERVICES'!$F$4:$F$238,$B39&amp;"*")</f>
        <v>0</v>
      </c>
      <c r="M39" s="48">
        <f>COUNTIFS('PRODUCTS AND SERVICES'!$A$4:$A$238,"Ginnie Mae",'PRODUCTS AND SERVICES'!$F$4:$F$238,$B39&amp;"*")</f>
        <v>0</v>
      </c>
      <c r="N39" s="48">
        <f>COUNTIFS('PRODUCTS AND SERVICES'!$A$4:$A$238,"Housing",'PRODUCTS AND SERVICES'!$F$4:$F$238,$B39&amp;"*")</f>
        <v>1</v>
      </c>
      <c r="O39" s="48">
        <f>COUNTIFS('PRODUCTS AND SERVICES'!$A$4:$A$238,"Lead Hazard Control and Healthy Homes",'PRODUCTS AND SERVICES'!$F$4:$F$238,$B39&amp;"*")</f>
        <v>0</v>
      </c>
      <c r="P39" s="48">
        <f>COUNTIFS('PRODUCTS AND SERVICES'!$A$4:$A$238,"Policy Development and Research",'PRODUCTS AND SERVICES'!$F$4:$F$238,$B39&amp;"*")</f>
        <v>0</v>
      </c>
      <c r="Q39" s="48">
        <f>COUNTIFS('PRODUCTS AND SERVICES'!$A$4:$A$238,"Public and Indian Housing",'PRODUCTS AND SERVICES'!$F$4:$F$238,$B39&amp;"*")</f>
        <v>0</v>
      </c>
      <c r="R39" s="48">
        <f>COUNTIFS('PRODUCTS AND SERVICES'!$A$4:$A$238,"Secretary",'PRODUCTS AND SERVICES'!$F$4:$F$238,$B39&amp;"*")</f>
        <v>0</v>
      </c>
      <c r="S39" s="49">
        <f t="shared" si="0"/>
        <v>1</v>
      </c>
      <c r="T39" s="82">
        <f t="shared" si="5"/>
        <v>4.2735042735042739E-3</v>
      </c>
    </row>
    <row r="40" spans="1:20" ht="27.6" x14ac:dyDescent="0.3">
      <c r="A40" s="33" t="s">
        <v>840</v>
      </c>
      <c r="B40" s="47" t="s">
        <v>545</v>
      </c>
      <c r="C40" s="48">
        <f>COUNTIFS('PRODUCTS AND SERVICES'!$A$4:$A$237,"Administration",'PRODUCTS AND SERVICES'!$F$4:$F$237,$B40&amp;"*")</f>
        <v>0</v>
      </c>
      <c r="D40" s="48">
        <f>COUNTIFS('PRODUCTS AND SERVICES'!$A$4:$A$237,"Chief Financial Officer",'PRODUCTS AND SERVICES'!$F$4:$F$237,$B40&amp;"*")</f>
        <v>0</v>
      </c>
      <c r="E40" s="48">
        <f>COUNTIFS('PRODUCTS AND SERVICES'!$A$4:$A$237,"Chief Human Capital Officer",'PRODUCTS AND SERVICES'!$F$4:$F$237,$B40&amp;"*")</f>
        <v>0</v>
      </c>
      <c r="F40" s="48">
        <f>COUNTIFS('PRODUCTS AND SERVICES'!$A$4:$A$237,"Chief Information Officer",'PRODUCTS AND SERVICES'!$F$4:$F$237,$B40&amp;"*")</f>
        <v>0</v>
      </c>
      <c r="G40" s="63">
        <f>COUNTIFS('PRODUCTS AND SERVICES'!$A$4:$A$237,"Chief Procurement Officer",'PRODUCTS AND SERVICES'!$F$4:$F$237,$B40&amp;"*")</f>
        <v>0</v>
      </c>
      <c r="H40" s="48">
        <f>COUNTIFS('PRODUCTS AND SERVICES'!$A$4:$A$237,"Community Planning and Development",'PRODUCTS AND SERVICES'!$F$4:$F$237,$B40&amp;"*")</f>
        <v>0</v>
      </c>
      <c r="I40" s="48">
        <f>COUNTIFS('PRODUCTS AND SERVICES'!$A$4:$A$237,"Community Planning and Development",'PRODUCTS AND SERVICES'!$F$4:$F$237,$B40&amp;"*")</f>
        <v>0</v>
      </c>
      <c r="J40" s="48">
        <f>COUNTIFS('PRODUCTS AND SERVICES'!$A$4:$A$237,"Fair Housing and Equal Opportunity",'PRODUCTS AND SERVICES'!$F$4:$F$237,$B40&amp;"*")</f>
        <v>0</v>
      </c>
      <c r="K40" s="48">
        <f>COUNTIFS('PRODUCTS AND SERVICES'!$A$4:$A$237,"Field Policy &amp; Management",'PRODUCTS AND SERVICES'!$F$4:$F$237,$B40&amp;"*")</f>
        <v>0</v>
      </c>
      <c r="L40" s="48">
        <f>COUNTIFS('PRODUCTS AND SERVICES'!$A$4:$A$237,"General Counsel",'PRODUCTS AND SERVICES'!$F$4:$F$237,$B40&amp;"*")</f>
        <v>0</v>
      </c>
      <c r="M40" s="48">
        <f>COUNTIFS('PRODUCTS AND SERVICES'!$A$4:$A$237,"Ginnie Mae",'PRODUCTS AND SERVICES'!$F$4:$F$237,$B40&amp;"*")</f>
        <v>0</v>
      </c>
      <c r="N40" s="48">
        <f>COUNTIFS('PRODUCTS AND SERVICES'!$A$4:$A$237,"Housing",'PRODUCTS AND SERVICES'!$F$4:$F$237,$B40&amp;"*")</f>
        <v>0</v>
      </c>
      <c r="O40" s="48">
        <f>COUNTIFS('PRODUCTS AND SERVICES'!$A$4:$A$237,"Lead Hazard Control and Healthy Homes",'PRODUCTS AND SERVICES'!$F$4:$F$237,$B40&amp;"*")</f>
        <v>0</v>
      </c>
      <c r="P40" s="48">
        <f>COUNTIFS('PRODUCTS AND SERVICES'!$A$4:$A$237,"Policy Development and Research",'PRODUCTS AND SERVICES'!$F$4:$F$237,$B40&amp;"*")</f>
        <v>11</v>
      </c>
      <c r="Q40" s="48">
        <f>COUNTIFS('PRODUCTS AND SERVICES'!$A$4:$A$237,"Public and Indian Housing",'PRODUCTS AND SERVICES'!$F$4:$F$237,$B40&amp;"*")</f>
        <v>0</v>
      </c>
      <c r="R40" s="48">
        <f>COUNTIFS('PRODUCTS AND SERVICES'!$A$4:$A$237,"Secretary",'PRODUCTS AND SERVICES'!$F$4:$F$237,$B40&amp;"*")</f>
        <v>0</v>
      </c>
      <c r="S40" s="49">
        <f>SUM(C40:R40)</f>
        <v>11</v>
      </c>
      <c r="T40" s="82">
        <f t="shared" si="5"/>
        <v>4.7008547008547008E-2</v>
      </c>
    </row>
    <row r="41" spans="1:20" ht="27.6" x14ac:dyDescent="0.3">
      <c r="A41" s="33" t="s">
        <v>239</v>
      </c>
      <c r="B41" s="47">
        <v>541720</v>
      </c>
      <c r="C41" s="48">
        <f>COUNTIFS('PRODUCTS AND SERVICES'!$A$4:$A$238,"Administration",'PRODUCTS AND SERVICES'!$F$4:$F$238,$B41&amp;"*")</f>
        <v>0</v>
      </c>
      <c r="D41" s="48">
        <f>COUNTIFS('PRODUCTS AND SERVICES'!$A$4:$A$238,"Chief Financial Officer",'PRODUCTS AND SERVICES'!$F$4:$F$238,$B41&amp;"*")</f>
        <v>0</v>
      </c>
      <c r="E41" s="48">
        <f>COUNTIFS('PRODUCTS AND SERVICES'!$A$4:$A$238,"Chief Human Capital Officer",'PRODUCTS AND SERVICES'!$F$4:$F$238,$B41&amp;"*")</f>
        <v>0</v>
      </c>
      <c r="F41" s="48">
        <f>COUNTIFS('PRODUCTS AND SERVICES'!$A$4:$A$238,"Chief Information Officer",'PRODUCTS AND SERVICES'!$F$4:$F$238,$B41&amp;"*")</f>
        <v>0</v>
      </c>
      <c r="G41" s="34">
        <f>COUNTIFS('PRODUCTS AND SERVICES'!$A$4:$A$238,"Chief Procurement Officer",'PRODUCTS AND SERVICES'!$F$4:$F$238,$B41&amp;"*")</f>
        <v>0</v>
      </c>
      <c r="H41" s="48">
        <f>COUNTIFS('PRODUCTS AND SERVICES'!$A$4:$A$238,"Community Planning and Development",'PRODUCTS AND SERVICES'!$F$4:$F$238,$B41&amp;"*")</f>
        <v>0</v>
      </c>
      <c r="I41" s="48">
        <f>COUNTIFS('PRODUCTS AND SERVICES'!$A$4:$A$238,"Departmental Equal Employment Opportunity",'PRODUCTS AND SERVICES'!$F$4:$F$238,$B41&amp;"*")</f>
        <v>0</v>
      </c>
      <c r="J41" s="48">
        <f>COUNTIFS('PRODUCTS AND SERVICES'!$A$4:$A$238,"Fair Housing and Equal Opportunity",'PRODUCTS AND SERVICES'!$F$4:$F$238,$B41&amp;"*")</f>
        <v>0</v>
      </c>
      <c r="K41" s="48">
        <f>COUNTIFS('PRODUCTS AND SERVICES'!$A$4:$A$238,"Field Policy and Management",'PRODUCTS AND SERVICES'!$F$4:$F$238,$B41&amp;"*")</f>
        <v>0</v>
      </c>
      <c r="L41" s="48">
        <f>COUNTIFS('PRODUCTS AND SERVICES'!$A$4:$A$238,"General Counsel",'PRODUCTS AND SERVICES'!$F$4:$F$238,$B41&amp;"*")</f>
        <v>0</v>
      </c>
      <c r="M41" s="48">
        <f>COUNTIFS('PRODUCTS AND SERVICES'!$A$4:$A$238,"Ginnie Mae",'PRODUCTS AND SERVICES'!$F$4:$F$238,$B41&amp;"*")</f>
        <v>0</v>
      </c>
      <c r="N41" s="48">
        <f>COUNTIFS('PRODUCTS AND SERVICES'!$A$4:$A$238,"Housing",'PRODUCTS AND SERVICES'!$F$4:$F$238,$B41&amp;"*")</f>
        <v>0</v>
      </c>
      <c r="O41" s="48">
        <f>COUNTIFS('PRODUCTS AND SERVICES'!$A$4:$A$238,"Lead Hazard Control and Healthy Homes",'PRODUCTS AND SERVICES'!$F$4:$F$238,$B41&amp;"*")</f>
        <v>0</v>
      </c>
      <c r="P41" s="48">
        <f>COUNTIFS('PRODUCTS AND SERVICES'!$A$4:$A$238,"Policy Development and Research",'PRODUCTS AND SERVICES'!$F$4:$F$238,$B41&amp;"*")</f>
        <v>4</v>
      </c>
      <c r="Q41" s="48">
        <f>COUNTIFS('PRODUCTS AND SERVICES'!$A$4:$A$238,"Public and Indian Housing",'PRODUCTS AND SERVICES'!$F$4:$F$238,$B41&amp;"*")</f>
        <v>0</v>
      </c>
      <c r="R41" s="48">
        <f>COUNTIFS('PRODUCTS AND SERVICES'!$A$4:$A$238,"Secretary",'PRODUCTS AND SERVICES'!$F$4:$F$238,$B41&amp;"*")</f>
        <v>0</v>
      </c>
      <c r="S41" s="49">
        <f t="shared" si="0"/>
        <v>4</v>
      </c>
      <c r="T41" s="82">
        <f t="shared" si="5"/>
        <v>1.7094017094017096E-2</v>
      </c>
    </row>
    <row r="42" spans="1:20" s="20" customFormat="1" x14ac:dyDescent="0.3">
      <c r="A42" s="33" t="s">
        <v>240</v>
      </c>
      <c r="B42" s="47">
        <v>541820</v>
      </c>
      <c r="C42" s="48">
        <f>COUNTIFS('PRODUCTS AND SERVICES'!$A$4:$A$238,"Administration",'PRODUCTS AND SERVICES'!$F$4:$F$238,$B42&amp;"*")</f>
        <v>0</v>
      </c>
      <c r="D42" s="48">
        <f>COUNTIFS('PRODUCTS AND SERVICES'!$A$4:$A$238,"Chief Financial Officer",'PRODUCTS AND SERVICES'!$F$4:$F$238,$B42&amp;"*")</f>
        <v>0</v>
      </c>
      <c r="E42" s="48">
        <f>COUNTIFS('PRODUCTS AND SERVICES'!$A$4:$A$238,"Chief Human Capital Officer",'PRODUCTS AND SERVICES'!$F$4:$F$238,$B42&amp;"*")</f>
        <v>0</v>
      </c>
      <c r="F42" s="48">
        <f>COUNTIFS('PRODUCTS AND SERVICES'!$A$4:$A$238,"Chief Information Officer",'PRODUCTS AND SERVICES'!$F$4:$F$238,$B42&amp;"*")</f>
        <v>0</v>
      </c>
      <c r="G42" s="34">
        <f>COUNTIFS('PRODUCTS AND SERVICES'!$A$4:$A$238,"Chief Procurement Officer",'PRODUCTS AND SERVICES'!$F$4:$F$238,$B42&amp;"*")</f>
        <v>0</v>
      </c>
      <c r="H42" s="48">
        <f>COUNTIFS('PRODUCTS AND SERVICES'!$A$4:$A$238,"Community Planning and Development",'PRODUCTS AND SERVICES'!$F$4:$F$238,$B42&amp;"*")</f>
        <v>0</v>
      </c>
      <c r="I42" s="48">
        <f>COUNTIFS('PRODUCTS AND SERVICES'!$A$4:$A$238,"Departmental Equal Employment Opportunity",'PRODUCTS AND SERVICES'!$F$4:$F$238,$B42&amp;"*")</f>
        <v>0</v>
      </c>
      <c r="J42" s="48">
        <f>COUNTIFS('PRODUCTS AND SERVICES'!$A$4:$A$238,"Fair Housing and Equal Opportunity",'PRODUCTS AND SERVICES'!$F$4:$F$238,$B42&amp;"*")</f>
        <v>0</v>
      </c>
      <c r="K42" s="48">
        <f>COUNTIFS('PRODUCTS AND SERVICES'!$A$4:$A$238,"Field Policy and Management",'PRODUCTS AND SERVICES'!$F$4:$F$238,$B42&amp;"*")</f>
        <v>0</v>
      </c>
      <c r="L42" s="48">
        <f>COUNTIFS('PRODUCTS AND SERVICES'!$A$4:$A$238,"General Counsel",'PRODUCTS AND SERVICES'!$F$4:$F$238,$B42&amp;"*")</f>
        <v>0</v>
      </c>
      <c r="M42" s="48">
        <f>COUNTIFS('PRODUCTS AND SERVICES'!$A$4:$A$238,"Ginnie Mae",'PRODUCTS AND SERVICES'!$F$4:$F$238,$B42&amp;"*")</f>
        <v>1</v>
      </c>
      <c r="N42" s="48">
        <f>COUNTIFS('PRODUCTS AND SERVICES'!$A$4:$A$238,"Housing",'PRODUCTS AND SERVICES'!$F$4:$F$238,$B42&amp;"*")</f>
        <v>0</v>
      </c>
      <c r="O42" s="48">
        <f>COUNTIFS('PRODUCTS AND SERVICES'!$A$4:$A$238,"Lead Hazard Control and Healthy Homes",'PRODUCTS AND SERVICES'!$F$4:$F$238,$B42&amp;"*")</f>
        <v>0</v>
      </c>
      <c r="P42" s="48">
        <f>COUNTIFS('PRODUCTS AND SERVICES'!$A$4:$A$238,"Policy Development and Research",'PRODUCTS AND SERVICES'!$F$4:$F$238,$B42&amp;"*")</f>
        <v>0</v>
      </c>
      <c r="Q42" s="48">
        <f>COUNTIFS('PRODUCTS AND SERVICES'!$A$4:$A$238,"Public and Indian Housing",'PRODUCTS AND SERVICES'!$F$4:$F$238,$B42&amp;"*")</f>
        <v>0</v>
      </c>
      <c r="R42" s="48">
        <f>COUNTIFS('PRODUCTS AND SERVICES'!$A$4:$A$238,"Secretary",'PRODUCTS AND SERVICES'!$F$4:$F$238,$B42&amp;"*")</f>
        <v>0</v>
      </c>
      <c r="S42" s="49">
        <f t="shared" si="0"/>
        <v>1</v>
      </c>
      <c r="T42" s="82">
        <f t="shared" si="5"/>
        <v>4.2735042735042739E-3</v>
      </c>
    </row>
    <row r="43" spans="1:20" x14ac:dyDescent="0.3">
      <c r="A43" s="33" t="s">
        <v>241</v>
      </c>
      <c r="B43" s="61">
        <v>541910</v>
      </c>
      <c r="C43" s="48">
        <f>COUNTIFS('PRODUCTS AND SERVICES'!$A$4:$A$238,"Administration",'PRODUCTS AND SERVICES'!$F$4:$F$238,$B43&amp;"*")</f>
        <v>0</v>
      </c>
      <c r="D43" s="48">
        <f>COUNTIFS('PRODUCTS AND SERVICES'!$A$4:$A$238,"Chief Financial Officer",'PRODUCTS AND SERVICES'!$F$4:$F$238,$B43&amp;"*")</f>
        <v>0</v>
      </c>
      <c r="E43" s="48">
        <f>COUNTIFS('PRODUCTS AND SERVICES'!$A$4:$A$238,"Chief Human Capital Officer",'PRODUCTS AND SERVICES'!$F$4:$F$238,$B43&amp;"*")</f>
        <v>0</v>
      </c>
      <c r="F43" s="48">
        <f>COUNTIFS('PRODUCTS AND SERVICES'!$A$4:$A$238,"Chief Information Officer",'PRODUCTS AND SERVICES'!$F$4:$F$238,$B43&amp;"*")</f>
        <v>0</v>
      </c>
      <c r="G43" s="34">
        <f>COUNTIFS('PRODUCTS AND SERVICES'!$A$4:$A$238,"Chief Procurement Officer",'PRODUCTS AND SERVICES'!$F$4:$F$238,$B43&amp;"*")</f>
        <v>0</v>
      </c>
      <c r="H43" s="48">
        <f>COUNTIFS('PRODUCTS AND SERVICES'!$A$4:$A$238,"Community Planning and Development",'PRODUCTS AND SERVICES'!$F$4:$F$238,$B43&amp;"*")</f>
        <v>0</v>
      </c>
      <c r="I43" s="48">
        <f>COUNTIFS('PRODUCTS AND SERVICES'!$A$4:$A$238,"Departmental Equal Employment Opportunity",'PRODUCTS AND SERVICES'!$F$4:$F$238,$B43&amp;"*")</f>
        <v>0</v>
      </c>
      <c r="J43" s="48">
        <f>COUNTIFS('PRODUCTS AND SERVICES'!$A$4:$A$238,"Fair Housing and Equal Opportunity",'PRODUCTS AND SERVICES'!$F$4:$F$238,$B43&amp;"*")</f>
        <v>0</v>
      </c>
      <c r="K43" s="48">
        <f>COUNTIFS('PRODUCTS AND SERVICES'!$A$4:$A$238,"Field Policy and Management",'PRODUCTS AND SERVICES'!$F$4:$F$238,$B43&amp;"*")</f>
        <v>0</v>
      </c>
      <c r="L43" s="48">
        <f>COUNTIFS('PRODUCTS AND SERVICES'!$A$4:$A$238,"General Counsel",'PRODUCTS AND SERVICES'!$F$4:$F$238,$B43&amp;"*")</f>
        <v>0</v>
      </c>
      <c r="M43" s="48">
        <f>COUNTIFS('PRODUCTS AND SERVICES'!$A$4:$A$238,"Ginnie Mae",'PRODUCTS AND SERVICES'!$F$4:$F$238,$B43&amp;"*")</f>
        <v>0</v>
      </c>
      <c r="N43" s="48">
        <f>COUNTIFS('PRODUCTS AND SERVICES'!$A$4:$A$238,"Housing",'PRODUCTS AND SERVICES'!$F$4:$F$238,$B43&amp;"*")</f>
        <v>0</v>
      </c>
      <c r="O43" s="48">
        <f>COUNTIFS('PRODUCTS AND SERVICES'!$A$4:$A$238,"Lead Hazard Control and Healthy Homes",'PRODUCTS AND SERVICES'!$F$4:$F$238,$B43&amp;"*")</f>
        <v>0</v>
      </c>
      <c r="P43" s="48">
        <f>COUNTIFS('PRODUCTS AND SERVICES'!$A$4:$A$238,"Policy Development and Research",'PRODUCTS AND SERVICES'!$F$4:$F$238,$B43&amp;"*")</f>
        <v>2</v>
      </c>
      <c r="Q43" s="48">
        <f>COUNTIFS('PRODUCTS AND SERVICES'!$A$4:$A$238,"Public and Indian Housing",'PRODUCTS AND SERVICES'!$F$4:$F$238,$B43&amp;"*")</f>
        <v>0</v>
      </c>
      <c r="R43" s="48">
        <f>COUNTIFS('PRODUCTS AND SERVICES'!$A$4:$A$238,"Secretary",'PRODUCTS AND SERVICES'!$F$4:$F$238,$B43&amp;"*")</f>
        <v>0</v>
      </c>
      <c r="S43" s="49">
        <f t="shared" si="0"/>
        <v>2</v>
      </c>
      <c r="T43" s="82">
        <f t="shared" si="5"/>
        <v>8.5470085470085479E-3</v>
      </c>
    </row>
    <row r="44" spans="1:20" x14ac:dyDescent="0.3">
      <c r="A44" s="33" t="s">
        <v>242</v>
      </c>
      <c r="B44" s="61">
        <v>541930</v>
      </c>
      <c r="C44" s="48">
        <f>COUNTIFS('PRODUCTS AND SERVICES'!$A$4:$A$238,"Administration",'PRODUCTS AND SERVICES'!$F$4:$F$238,$B44&amp;"*")</f>
        <v>0</v>
      </c>
      <c r="D44" s="48">
        <f>COUNTIFS('PRODUCTS AND SERVICES'!$A$4:$A$238,"Chief Financial Officer",'PRODUCTS AND SERVICES'!$F$4:$F$238,$B44&amp;"*")</f>
        <v>0</v>
      </c>
      <c r="E44" s="48">
        <f>COUNTIFS('PRODUCTS AND SERVICES'!$A$4:$A$238,"Chief Human Capital Officer",'PRODUCTS AND SERVICES'!$F$4:$F$238,$B44&amp;"*")</f>
        <v>2</v>
      </c>
      <c r="F44" s="48">
        <f>COUNTIFS('PRODUCTS AND SERVICES'!$A$4:$A$238,"Chief Information Officer",'PRODUCTS AND SERVICES'!$F$4:$F$238,$B44&amp;"*")</f>
        <v>0</v>
      </c>
      <c r="G44" s="34">
        <f>COUNTIFS('PRODUCTS AND SERVICES'!$A$4:$A$238,"Chief Procurement Officer",'PRODUCTS AND SERVICES'!$F$4:$F$238,$B44&amp;"*")</f>
        <v>0</v>
      </c>
      <c r="H44" s="48">
        <f>COUNTIFS('PRODUCTS AND SERVICES'!$A$4:$A$238,"Community Planning and Development",'PRODUCTS AND SERVICES'!$F$4:$F$238,$B44&amp;"*")</f>
        <v>0</v>
      </c>
      <c r="I44" s="48">
        <f>COUNTIFS('PRODUCTS AND SERVICES'!$A$4:$A$238,"Departmental Equal Employment Opportunity",'PRODUCTS AND SERVICES'!$F$4:$F$238,$B44&amp;"*")</f>
        <v>0</v>
      </c>
      <c r="J44" s="48">
        <f>COUNTIFS('PRODUCTS AND SERVICES'!$A$4:$A$238,"Fair Housing and Equal Opportunity",'PRODUCTS AND SERVICES'!$F$4:$F$238,$B44&amp;"*")</f>
        <v>0</v>
      </c>
      <c r="K44" s="48">
        <f>COUNTIFS('PRODUCTS AND SERVICES'!$A$4:$A$238,"Field Policy and Management",'PRODUCTS AND SERVICES'!$F$4:$F$238,$B44&amp;"*")</f>
        <v>0</v>
      </c>
      <c r="L44" s="48">
        <f>COUNTIFS('PRODUCTS AND SERVICES'!$A$4:$A$238,"General Counsel",'PRODUCTS AND SERVICES'!$F$4:$F$238,$B44&amp;"*")</f>
        <v>0</v>
      </c>
      <c r="M44" s="48">
        <f>COUNTIFS('PRODUCTS AND SERVICES'!$A$4:$A$238,"Ginnie Mae",'PRODUCTS AND SERVICES'!$F$4:$F$238,$B44&amp;"*")</f>
        <v>0</v>
      </c>
      <c r="N44" s="48">
        <f>COUNTIFS('PRODUCTS AND SERVICES'!$A$4:$A$238,"Housing",'PRODUCTS AND SERVICES'!$F$4:$F$238,$B44&amp;"*")</f>
        <v>0</v>
      </c>
      <c r="O44" s="48">
        <f>COUNTIFS('PRODUCTS AND SERVICES'!$A$4:$A$238,"Lead Hazard Control and Healthy Homes",'PRODUCTS AND SERVICES'!$F$4:$F$238,$B44&amp;"*")</f>
        <v>0</v>
      </c>
      <c r="P44" s="48">
        <f>COUNTIFS('PRODUCTS AND SERVICES'!$A$4:$A$238,"Policy Development and Research",'PRODUCTS AND SERVICES'!$F$4:$F$238,$B44&amp;"*")</f>
        <v>0</v>
      </c>
      <c r="Q44" s="48">
        <f>COUNTIFS('PRODUCTS AND SERVICES'!$A$4:$A$238,"Public and Indian Housing",'PRODUCTS AND SERVICES'!$F$4:$F$238,$B44&amp;"*")</f>
        <v>0</v>
      </c>
      <c r="R44" s="48">
        <f>COUNTIFS('PRODUCTS AND SERVICES'!$A$4:$A$238,"Secretary",'PRODUCTS AND SERVICES'!$F$4:$F$238,$B44&amp;"*")</f>
        <v>0</v>
      </c>
      <c r="S44" s="49">
        <f t="shared" si="0"/>
        <v>2</v>
      </c>
      <c r="T44" s="82">
        <f t="shared" si="5"/>
        <v>8.5470085470085479E-3</v>
      </c>
    </row>
    <row r="45" spans="1:20" x14ac:dyDescent="0.3">
      <c r="A45" s="33" t="s">
        <v>243</v>
      </c>
      <c r="B45" s="47">
        <v>561110</v>
      </c>
      <c r="C45" s="48">
        <f>COUNTIFS('PRODUCTS AND SERVICES'!$A$4:$A$238,"Administration",'PRODUCTS AND SERVICES'!$F$4:$F$238,$B45&amp;"*")</f>
        <v>0</v>
      </c>
      <c r="D45" s="48">
        <f>COUNTIFS('PRODUCTS AND SERVICES'!$A$4:$A$238,"Chief Financial Officer",'PRODUCTS AND SERVICES'!$F$4:$F$238,$B45&amp;"*")</f>
        <v>0</v>
      </c>
      <c r="E45" s="48">
        <f>COUNTIFS('PRODUCTS AND SERVICES'!$A$4:$A$238,"Chief Human Capital Officer",'PRODUCTS AND SERVICES'!$F$4:$F$238,$B45&amp;"*")</f>
        <v>0</v>
      </c>
      <c r="F45" s="48">
        <f>COUNTIFS('PRODUCTS AND SERVICES'!$A$4:$A$238,"Chief Information Officer",'PRODUCTS AND SERVICES'!$F$4:$F$238,$B45&amp;"*")</f>
        <v>0</v>
      </c>
      <c r="G45" s="34">
        <f>COUNTIFS('PRODUCTS AND SERVICES'!$A$4:$A$238,"Chief Procurement Officer",'PRODUCTS AND SERVICES'!$F$4:$F$238,$B45&amp;"*")</f>
        <v>0</v>
      </c>
      <c r="H45" s="48">
        <f>COUNTIFS('PRODUCTS AND SERVICES'!$A$4:$A$238,"Community Planning and Development",'PRODUCTS AND SERVICES'!$F$4:$F$238,$B45&amp;"*")</f>
        <v>0</v>
      </c>
      <c r="I45" s="48">
        <f>COUNTIFS('PRODUCTS AND SERVICES'!$A$4:$A$238,"Departmental Equal Employment Opportunity",'PRODUCTS AND SERVICES'!$F$4:$F$238,$B45&amp;"*")</f>
        <v>0</v>
      </c>
      <c r="J45" s="48">
        <f>COUNTIFS('PRODUCTS AND SERVICES'!$A$4:$A$238,"Fair Housing and Equal Opportunity",'PRODUCTS AND SERVICES'!$F$4:$F$238,$B45&amp;"*")</f>
        <v>0</v>
      </c>
      <c r="K45" s="48">
        <f>COUNTIFS('PRODUCTS AND SERVICES'!$A$4:$A$238,"Field Policy and Management",'PRODUCTS AND SERVICES'!$F$4:$F$238,$B45&amp;"*")</f>
        <v>0</v>
      </c>
      <c r="L45" s="48">
        <f>COUNTIFS('PRODUCTS AND SERVICES'!$A$4:$A$238,"General Counsel",'PRODUCTS AND SERVICES'!$F$4:$F$238,$B45&amp;"*")</f>
        <v>0</v>
      </c>
      <c r="M45" s="48">
        <f>COUNTIFS('PRODUCTS AND SERVICES'!$A$4:$A$238,"Ginnie Mae",'PRODUCTS AND SERVICES'!$F$4:$F$238,$B45&amp;"*")</f>
        <v>0</v>
      </c>
      <c r="N45" s="48">
        <f>COUNTIFS('PRODUCTS AND SERVICES'!$A$4:$A$238,"Housing",'PRODUCTS AND SERVICES'!$F$4:$F$238,$B45&amp;"*")</f>
        <v>0</v>
      </c>
      <c r="O45" s="48">
        <f>COUNTIFS('PRODUCTS AND SERVICES'!$A$4:$A$238,"Lead Hazard Control and Healthy Homes",'PRODUCTS AND SERVICES'!$F$4:$F$238,$B45&amp;"*")</f>
        <v>0</v>
      </c>
      <c r="P45" s="48">
        <f>COUNTIFS('PRODUCTS AND SERVICES'!$A$4:$A$238,"Policy Development and Research",'PRODUCTS AND SERVICES'!$F$4:$F$238,$B45&amp;"*")</f>
        <v>2</v>
      </c>
      <c r="Q45" s="48">
        <f>COUNTIFS('PRODUCTS AND SERVICES'!$A$4:$A$238,"Public and Indian Housing",'PRODUCTS AND SERVICES'!$F$4:$F$238,$B45&amp;"*")</f>
        <v>0</v>
      </c>
      <c r="R45" s="48">
        <f>COUNTIFS('PRODUCTS AND SERVICES'!$A$4:$A$238,"Secretary",'PRODUCTS AND SERVICES'!$F$4:$F$238,$B45&amp;"*")</f>
        <v>0</v>
      </c>
      <c r="S45" s="49">
        <f t="shared" si="0"/>
        <v>2</v>
      </c>
      <c r="T45" s="82">
        <f t="shared" si="5"/>
        <v>8.5470085470085479E-3</v>
      </c>
    </row>
    <row r="46" spans="1:20" x14ac:dyDescent="0.3">
      <c r="A46" s="38" t="s">
        <v>244</v>
      </c>
      <c r="B46" s="62">
        <v>561210</v>
      </c>
      <c r="C46" s="48">
        <f>COUNTIFS('PRODUCTS AND SERVICES'!$A$4:$A$238,"Administration",'PRODUCTS AND SERVICES'!$F$4:$F$238,$B46&amp;"*")</f>
        <v>2</v>
      </c>
      <c r="D46" s="48">
        <f>COUNTIFS('PRODUCTS AND SERVICES'!$A$4:$A$238,"Chief Financial Officer",'PRODUCTS AND SERVICES'!$F$4:$F$238,$B46&amp;"*")</f>
        <v>0</v>
      </c>
      <c r="E46" s="48">
        <f>COUNTIFS('PRODUCTS AND SERVICES'!$A$4:$A$238,"Chief Human Capital Officer",'PRODUCTS AND SERVICES'!$F$4:$F$238,$B46&amp;"*")</f>
        <v>0</v>
      </c>
      <c r="F46" s="48">
        <f>COUNTIFS('PRODUCTS AND SERVICES'!$A$4:$A$238,"Chief Information Officer",'PRODUCTS AND SERVICES'!$F$4:$F$238,$B46&amp;"*")</f>
        <v>0</v>
      </c>
      <c r="G46" s="34">
        <f>COUNTIFS('PRODUCTS AND SERVICES'!$A$4:$A$238,"Chief Procurement Officer",'PRODUCTS AND SERVICES'!$F$4:$F$238,$B46&amp;"*")</f>
        <v>0</v>
      </c>
      <c r="H46" s="48">
        <f>COUNTIFS('PRODUCTS AND SERVICES'!$A$4:$A$238,"Community Planning and Development",'PRODUCTS AND SERVICES'!$F$4:$F$238,$B46&amp;"*")</f>
        <v>0</v>
      </c>
      <c r="I46" s="48">
        <f>COUNTIFS('PRODUCTS AND SERVICES'!$A$4:$A$238,"Departmental Equal Employment Opportunity",'PRODUCTS AND SERVICES'!$F$4:$F$238,$B46&amp;"*")</f>
        <v>0</v>
      </c>
      <c r="J46" s="48">
        <f>COUNTIFS('PRODUCTS AND SERVICES'!$A$4:$A$238,"Fair Housing and Equal Opportunity",'PRODUCTS AND SERVICES'!$F$4:$F$238,$B46&amp;"*")</f>
        <v>0</v>
      </c>
      <c r="K46" s="48">
        <f>COUNTIFS('PRODUCTS AND SERVICES'!$A$4:$A$238,"Field Policy and Management",'PRODUCTS AND SERVICES'!$F$4:$F$238,$B46&amp;"*")</f>
        <v>0</v>
      </c>
      <c r="L46" s="48">
        <f>COUNTIFS('PRODUCTS AND SERVICES'!$A$4:$A$238,"General Counsel",'PRODUCTS AND SERVICES'!$F$4:$F$238,$B46&amp;"*")</f>
        <v>0</v>
      </c>
      <c r="M46" s="48">
        <f>COUNTIFS('PRODUCTS AND SERVICES'!$A$4:$A$238,"Ginnie Mae",'PRODUCTS AND SERVICES'!$F$4:$F$238,$B46&amp;"*")</f>
        <v>1</v>
      </c>
      <c r="N46" s="48">
        <f>COUNTIFS('PRODUCTS AND SERVICES'!$A$4:$A$238,"Housing",'PRODUCTS AND SERVICES'!$F$4:$F$238,$B46&amp;"*")</f>
        <v>0</v>
      </c>
      <c r="O46" s="48">
        <f>COUNTIFS('PRODUCTS AND SERVICES'!$A$4:$A$238,"Lead Hazard Control and Healthy Homes",'PRODUCTS AND SERVICES'!$F$4:$F$238,$B46&amp;"*")</f>
        <v>0</v>
      </c>
      <c r="P46" s="48">
        <f>COUNTIFS('PRODUCTS AND SERVICES'!$A$4:$A$238,"Policy Development and Research",'PRODUCTS AND SERVICES'!$F$4:$F$238,$B46&amp;"*")</f>
        <v>0</v>
      </c>
      <c r="Q46" s="48">
        <f>COUNTIFS('PRODUCTS AND SERVICES'!$A$4:$A$238,"Public and Indian Housing",'PRODUCTS AND SERVICES'!$F$4:$F$238,$B46&amp;"*")</f>
        <v>0</v>
      </c>
      <c r="R46" s="48">
        <f>COUNTIFS('PRODUCTS AND SERVICES'!$A$4:$A$238,"Secretary",'PRODUCTS AND SERVICES'!$F$4:$F$238,$B46&amp;"*")</f>
        <v>0</v>
      </c>
      <c r="S46" s="51">
        <f t="shared" si="0"/>
        <v>3</v>
      </c>
      <c r="T46" s="82">
        <f t="shared" si="5"/>
        <v>1.282051282051282E-2</v>
      </c>
    </row>
    <row r="47" spans="1:20" x14ac:dyDescent="0.3">
      <c r="A47" s="33" t="s">
        <v>245</v>
      </c>
      <c r="B47" s="47">
        <v>561422</v>
      </c>
      <c r="C47" s="48">
        <f>COUNTIFS('PRODUCTS AND SERVICES'!$A$4:$A$238,"Administration",'PRODUCTS AND SERVICES'!$F$4:$F$238,$B47&amp;"*")</f>
        <v>0</v>
      </c>
      <c r="D47" s="48">
        <f>COUNTIFS('PRODUCTS AND SERVICES'!$A$4:$A$238,"Chief Financial Officer",'PRODUCTS AND SERVICES'!$F$4:$F$238,$B47&amp;"*")</f>
        <v>0</v>
      </c>
      <c r="E47" s="48">
        <f>COUNTIFS('PRODUCTS AND SERVICES'!$A$4:$A$238,"Chief Human Capital Officer",'PRODUCTS AND SERVICES'!$F$4:$F$238,$B47&amp;"*")</f>
        <v>0</v>
      </c>
      <c r="F47" s="48">
        <f>COUNTIFS('PRODUCTS AND SERVICES'!$A$4:$A$238,"Chief Information Officer",'PRODUCTS AND SERVICES'!$F$4:$F$238,$B47&amp;"*")</f>
        <v>0</v>
      </c>
      <c r="G47" s="34">
        <f>COUNTIFS('PRODUCTS AND SERVICES'!$A$4:$A$238,"Chief Procurement Officer",'PRODUCTS AND SERVICES'!$F$4:$F$238,$B47&amp;"*")</f>
        <v>0</v>
      </c>
      <c r="H47" s="48">
        <f>COUNTIFS('PRODUCTS AND SERVICES'!$A$4:$A$238,"Community Planning and Development",'PRODUCTS AND SERVICES'!$F$4:$F$238,$B47&amp;"*")</f>
        <v>0</v>
      </c>
      <c r="I47" s="48">
        <f>COUNTIFS('PRODUCTS AND SERVICES'!$A$4:$A$238,"Departmental Equal Employment Opportunity",'PRODUCTS AND SERVICES'!$F$4:$F$238,$B47&amp;"*")</f>
        <v>0</v>
      </c>
      <c r="J47" s="48">
        <f>COUNTIFS('PRODUCTS AND SERVICES'!$A$4:$A$238,"Fair Housing and Equal Opportunity",'PRODUCTS AND SERVICES'!$F$4:$F$238,$B47&amp;"*")</f>
        <v>0</v>
      </c>
      <c r="K47" s="48">
        <f>COUNTIFS('PRODUCTS AND SERVICES'!$A$4:$A$238,"Field Policy and Management",'PRODUCTS AND SERVICES'!$F$4:$F$238,$B47&amp;"*")</f>
        <v>0</v>
      </c>
      <c r="L47" s="48">
        <f>COUNTIFS('PRODUCTS AND SERVICES'!$A$4:$A$238,"General Counsel",'PRODUCTS AND SERVICES'!$F$4:$F$238,$B47&amp;"*")</f>
        <v>0</v>
      </c>
      <c r="M47" s="48">
        <f>COUNTIFS('PRODUCTS AND SERVICES'!$A$4:$A$238,"Ginnie Mae",'PRODUCTS AND SERVICES'!$F$4:$F$238,$B47&amp;"*")</f>
        <v>0</v>
      </c>
      <c r="N47" s="48">
        <f>COUNTIFS('PRODUCTS AND SERVICES'!$A$4:$A$238,"Housing",'PRODUCTS AND SERVICES'!$F$4:$F$238,$B47&amp;"*")</f>
        <v>1</v>
      </c>
      <c r="O47" s="48">
        <f>COUNTIFS('PRODUCTS AND SERVICES'!$A$4:$A$238,"Lead Hazard Control and Healthy Homes",'PRODUCTS AND SERVICES'!$F$4:$F$238,$B47&amp;"*")</f>
        <v>0</v>
      </c>
      <c r="P47" s="48">
        <f>COUNTIFS('PRODUCTS AND SERVICES'!$A$4:$A$238,"Policy Development and Research",'PRODUCTS AND SERVICES'!$F$4:$F$238,$B47&amp;"*")</f>
        <v>0</v>
      </c>
      <c r="Q47" s="48">
        <f>COUNTIFS('PRODUCTS AND SERVICES'!$A$4:$A$238,"Public and Indian Housing",'PRODUCTS AND SERVICES'!$F$4:$F$238,$B47&amp;"*")</f>
        <v>0</v>
      </c>
      <c r="R47" s="48">
        <f>COUNTIFS('PRODUCTS AND SERVICES'!$A$4:$A$238,"Secretary",'PRODUCTS AND SERVICES'!$F$4:$F$238,$B47&amp;"*")</f>
        <v>0</v>
      </c>
      <c r="S47" s="49">
        <f t="shared" si="0"/>
        <v>1</v>
      </c>
      <c r="T47" s="82">
        <f t="shared" si="5"/>
        <v>4.2735042735042739E-3</v>
      </c>
    </row>
    <row r="48" spans="1:20" x14ac:dyDescent="0.3">
      <c r="A48" s="33" t="s">
        <v>841</v>
      </c>
      <c r="B48" s="47" t="s">
        <v>486</v>
      </c>
      <c r="C48" s="48">
        <f>COUNTIFS('PRODUCTS AND SERVICES'!$A$4:$A$237,"Administration",'PRODUCTS AND SERVICES'!$F$4:$F$237,$B48&amp;"*")</f>
        <v>0</v>
      </c>
      <c r="D48" s="48">
        <f>COUNTIFS('PRODUCTS AND SERVICES'!$A$4:$A$237,"Chief Financial Officer",'PRODUCTS AND SERVICES'!$F$4:$F$237,$B48&amp;"*")</f>
        <v>0</v>
      </c>
      <c r="E48" s="48">
        <f>COUNTIFS('PRODUCTS AND SERVICES'!$A$4:$A$237,"Chief Human Capital Officer",'PRODUCTS AND SERVICES'!$F$4:$F$237,$B48&amp;"*")</f>
        <v>0</v>
      </c>
      <c r="F48" s="48">
        <f>COUNTIFS('PRODUCTS AND SERVICES'!$A$4:$A$237,"Chief Information Officer",'PRODUCTS AND SERVICES'!$F$4:$F$237,$B48&amp;"*")</f>
        <v>0</v>
      </c>
      <c r="G48" s="63">
        <f>COUNTIFS('PRODUCTS AND SERVICES'!$A$4:$A$237,"Chief Procurement Officer",'PRODUCTS AND SERVICES'!$F$4:$F$237,$B48&amp;"*")</f>
        <v>0</v>
      </c>
      <c r="H48" s="48">
        <f>COUNTIFS('PRODUCTS AND SERVICES'!$A$4:$A$237,"Community Planning and Development",'PRODUCTS AND SERVICES'!$F$4:$F$237,$B48&amp;"*")</f>
        <v>0</v>
      </c>
      <c r="I48" s="48">
        <f>COUNTIFS('PRODUCTS AND SERVICES'!$A$4:$A$237,"Community Planning and Development",'PRODUCTS AND SERVICES'!$F$4:$F$237,$B48&amp;"*")</f>
        <v>0</v>
      </c>
      <c r="J48" s="48">
        <f>COUNTIFS('PRODUCTS AND SERVICES'!$A$4:$A$237,"Fair Housing and Equal Opportunity",'PRODUCTS AND SERVICES'!$F$4:$F$237,$B48&amp;"*")</f>
        <v>0</v>
      </c>
      <c r="K48" s="48">
        <f>COUNTIFS('PRODUCTS AND SERVICES'!$A$4:$A$237,"Field Policy &amp; Management",'PRODUCTS AND SERVICES'!$F$4:$F$237,$B48&amp;"*")</f>
        <v>0</v>
      </c>
      <c r="L48" s="48">
        <f>COUNTIFS('PRODUCTS AND SERVICES'!$A$4:$A$237,"General Counsel",'PRODUCTS AND SERVICES'!$F$4:$F$237,$B48&amp;"*")</f>
        <v>0</v>
      </c>
      <c r="M48" s="48">
        <f>COUNTIFS('PRODUCTS AND SERVICES'!$A$4:$A$237,"Ginnie Mae",'PRODUCTS AND SERVICES'!$F$4:$F$237,$B48&amp;"*")</f>
        <v>0</v>
      </c>
      <c r="N48" s="48">
        <f>COUNTIFS('PRODUCTS AND SERVICES'!$A$4:$A$237,"Housing",'PRODUCTS AND SERVICES'!$F$4:$F$237,$B48&amp;"*")</f>
        <v>1</v>
      </c>
      <c r="O48" s="48">
        <f>COUNTIFS('PRODUCTS AND SERVICES'!$A$4:$A$237,"Lead Hazard Control and Healthy Homes",'PRODUCTS AND SERVICES'!$F$4:$F$237,$B48&amp;"*")</f>
        <v>0</v>
      </c>
      <c r="P48" s="48">
        <f>COUNTIFS('PRODUCTS AND SERVICES'!$A$4:$A$237,"Policy Development and Research",'PRODUCTS AND SERVICES'!$F$4:$F$237,$B48&amp;"*")</f>
        <v>0</v>
      </c>
      <c r="Q48" s="48">
        <f>COUNTIFS('PRODUCTS AND SERVICES'!$A$4:$A$237,"Public and Indian Housing",'PRODUCTS AND SERVICES'!$F$4:$F$237,$B48&amp;"*")</f>
        <v>0</v>
      </c>
      <c r="R48" s="48">
        <f>COUNTIFS('PRODUCTS AND SERVICES'!$A$4:$A$237,"Secretary",'PRODUCTS AND SERVICES'!$F$4:$F$237,$B48&amp;"*")</f>
        <v>0</v>
      </c>
      <c r="S48" s="49">
        <f>SUM(C48:R48)</f>
        <v>1</v>
      </c>
      <c r="T48" s="82">
        <f t="shared" si="5"/>
        <v>4.2735042735042739E-3</v>
      </c>
    </row>
    <row r="49" spans="1:20" x14ac:dyDescent="0.3">
      <c r="A49" s="33" t="s">
        <v>246</v>
      </c>
      <c r="B49" s="47">
        <v>561492</v>
      </c>
      <c r="C49" s="48">
        <f>COUNTIFS('PRODUCTS AND SERVICES'!$A$4:$A$238,"Administration",'PRODUCTS AND SERVICES'!$F$4:$F$238,$B49&amp;"*")</f>
        <v>1</v>
      </c>
      <c r="D49" s="48">
        <f>COUNTIFS('PRODUCTS AND SERVICES'!$A$4:$A$238,"Chief Financial Officer",'PRODUCTS AND SERVICES'!$F$4:$F$238,$B49&amp;"*")</f>
        <v>0</v>
      </c>
      <c r="E49" s="48">
        <f>COUNTIFS('PRODUCTS AND SERVICES'!$A$4:$A$238,"Chief Human Capital Officer",'PRODUCTS AND SERVICES'!$F$4:$F$238,$B49&amp;"*")</f>
        <v>2</v>
      </c>
      <c r="F49" s="48">
        <f>COUNTIFS('PRODUCTS AND SERVICES'!$A$4:$A$238,"Chief Information Officer",'PRODUCTS AND SERVICES'!$F$4:$F$238,$B49&amp;"*")</f>
        <v>0</v>
      </c>
      <c r="G49" s="34">
        <f>COUNTIFS('PRODUCTS AND SERVICES'!$A$4:$A$238,"Chief Procurement Officer",'PRODUCTS AND SERVICES'!$F$4:$F$238,$B49&amp;"*")</f>
        <v>0</v>
      </c>
      <c r="H49" s="48">
        <f>COUNTIFS('PRODUCTS AND SERVICES'!$A$4:$A$238,"Community Planning and Development",'PRODUCTS AND SERVICES'!$F$4:$F$238,$B49&amp;"*")</f>
        <v>0</v>
      </c>
      <c r="I49" s="48">
        <f>COUNTIFS('PRODUCTS AND SERVICES'!$A$4:$A$238,"Departmental Equal Employment Opportunity",'PRODUCTS AND SERVICES'!$F$4:$F$238,$B49&amp;"*")</f>
        <v>0</v>
      </c>
      <c r="J49" s="48">
        <f>COUNTIFS('PRODUCTS AND SERVICES'!$A$4:$A$238,"Fair Housing and Equal Opportunity",'PRODUCTS AND SERVICES'!$F$4:$F$238,$B49&amp;"*")</f>
        <v>0</v>
      </c>
      <c r="K49" s="48">
        <f>COUNTIFS('PRODUCTS AND SERVICES'!$A$4:$A$238,"Field Policy and Management",'PRODUCTS AND SERVICES'!$F$4:$F$238,$B49&amp;"*")</f>
        <v>0</v>
      </c>
      <c r="L49" s="48">
        <f>COUNTIFS('PRODUCTS AND SERVICES'!$A$4:$A$238,"General Counsel",'PRODUCTS AND SERVICES'!$F$4:$F$238,$B49&amp;"*")</f>
        <v>0</v>
      </c>
      <c r="M49" s="48">
        <f>COUNTIFS('PRODUCTS AND SERVICES'!$A$4:$A$238,"Ginnie Mae",'PRODUCTS AND SERVICES'!$F$4:$F$238,$B49&amp;"*")</f>
        <v>0</v>
      </c>
      <c r="N49" s="48">
        <f>COUNTIFS('PRODUCTS AND SERVICES'!$A$4:$A$238,"Housing",'PRODUCTS AND SERVICES'!$F$4:$F$238,$B49&amp;"*")</f>
        <v>0</v>
      </c>
      <c r="O49" s="48">
        <f>COUNTIFS('PRODUCTS AND SERVICES'!$A$4:$A$238,"Lead Hazard Control and Healthy Homes",'PRODUCTS AND SERVICES'!$F$4:$F$238,$B49&amp;"*")</f>
        <v>0</v>
      </c>
      <c r="P49" s="48">
        <f>COUNTIFS('PRODUCTS AND SERVICES'!$A$4:$A$238,"Policy Development and Research",'PRODUCTS AND SERVICES'!$F$4:$F$238,$B49&amp;"*")</f>
        <v>0</v>
      </c>
      <c r="Q49" s="48">
        <f>COUNTIFS('PRODUCTS AND SERVICES'!$A$4:$A$238,"Public and Indian Housing",'PRODUCTS AND SERVICES'!$F$4:$F$238,$B49&amp;"*")</f>
        <v>0</v>
      </c>
      <c r="R49" s="48">
        <f>COUNTIFS('PRODUCTS AND SERVICES'!$A$4:$A$238,"Secretary",'PRODUCTS AND SERVICES'!$F$4:$F$238,$B49&amp;"*")</f>
        <v>0</v>
      </c>
      <c r="S49" s="49">
        <f t="shared" si="0"/>
        <v>3</v>
      </c>
      <c r="T49" s="82">
        <f t="shared" si="5"/>
        <v>1.282051282051282E-2</v>
      </c>
    </row>
    <row r="50" spans="1:20" x14ac:dyDescent="0.3">
      <c r="A50" s="33" t="s">
        <v>265</v>
      </c>
      <c r="B50" s="47" t="s">
        <v>262</v>
      </c>
      <c r="C50" s="48">
        <f>COUNTIFS('PRODUCTS AND SERVICES'!$A$4:$A$238,"Administration",'PRODUCTS AND SERVICES'!$F$4:$F$238,$B50&amp;"*")</f>
        <v>0</v>
      </c>
      <c r="D50" s="48">
        <f>COUNTIFS('PRODUCTS AND SERVICES'!$A$4:$A$238,"Chief Financial Officer",'PRODUCTS AND SERVICES'!$F$4:$F$238,$B50&amp;"*")</f>
        <v>0</v>
      </c>
      <c r="E50" s="48">
        <f>COUNTIFS('PRODUCTS AND SERVICES'!$A$4:$A$238,"Chief Human Capital Officer",'PRODUCTS AND SERVICES'!$F$4:$F$238,$B50&amp;"*")</f>
        <v>0</v>
      </c>
      <c r="F50" s="48">
        <f>COUNTIFS('PRODUCTS AND SERVICES'!$A$4:$A$238,"Chief Information Officer",'PRODUCTS AND SERVICES'!$F$4:$F$238,$B50&amp;"*")</f>
        <v>0</v>
      </c>
      <c r="G50" s="63">
        <f>COUNTIFS('PRODUCTS AND SERVICES'!$A$4:$A$238,"Chief Procurement Officer",'PRODUCTS AND SERVICES'!$F$4:$F$238,$B50&amp;"*")</f>
        <v>0</v>
      </c>
      <c r="H50" s="48">
        <f>COUNTIFS('PRODUCTS AND SERVICES'!$A$4:$A$238,"Community Planning and Development",'PRODUCTS AND SERVICES'!$F$4:$F$238,$B50&amp;"*")</f>
        <v>0</v>
      </c>
      <c r="I50" s="48">
        <f>COUNTIFS('PRODUCTS AND SERVICES'!$A$4:$A$238,"Departmental Equal Employment Opportunity",'PRODUCTS AND SERVICES'!$F$4:$F$238,$B50&amp;"*")</f>
        <v>1</v>
      </c>
      <c r="J50" s="48">
        <f>COUNTIFS('PRODUCTS AND SERVICES'!$A$4:$A$238,"Fair Housing and Equal Opportunity",'PRODUCTS AND SERVICES'!$F$4:$F$238,$B50&amp;"*")</f>
        <v>0</v>
      </c>
      <c r="K50" s="48">
        <f>COUNTIFS('PRODUCTS AND SERVICES'!$A$4:$A$238,"Field Policy and Management",'PRODUCTS AND SERVICES'!$F$4:$F$238,$B50&amp;"*")</f>
        <v>0</v>
      </c>
      <c r="L50" s="48">
        <f>COUNTIFS('PRODUCTS AND SERVICES'!$A$4:$A$238,"General Counsel",'PRODUCTS AND SERVICES'!$F$4:$F$238,$B50&amp;"*")</f>
        <v>0</v>
      </c>
      <c r="M50" s="48">
        <f>COUNTIFS('PRODUCTS AND SERVICES'!$A$4:$A$238,"Ginnie Mae",'PRODUCTS AND SERVICES'!$F$4:$F$238,$B50&amp;"*")</f>
        <v>0</v>
      </c>
      <c r="N50" s="48">
        <f>COUNTIFS('PRODUCTS AND SERVICES'!$A$4:$A$238,"Housing",'PRODUCTS AND SERVICES'!$F$4:$F$238,$B50&amp;"*")</f>
        <v>1</v>
      </c>
      <c r="O50" s="48">
        <f>COUNTIFS('PRODUCTS AND SERVICES'!$A$4:$A$238,"Lead Hazard Control and Healthy Homes",'PRODUCTS AND SERVICES'!$F$4:$F$238,$B50&amp;"*")</f>
        <v>0</v>
      </c>
      <c r="P50" s="48">
        <f>COUNTIFS('PRODUCTS AND SERVICES'!$A$4:$A$238,"Policy Development and Research",'PRODUCTS AND SERVICES'!$F$4:$F$238,$B50&amp;"*")</f>
        <v>0</v>
      </c>
      <c r="Q50" s="48">
        <f>COUNTIFS('PRODUCTS AND SERVICES'!$A$4:$A$238,"Public and Indian Housing",'PRODUCTS AND SERVICES'!$F$4:$F$238,$B50&amp;"*")</f>
        <v>0</v>
      </c>
      <c r="R50" s="48">
        <f>COUNTIFS('PRODUCTS AND SERVICES'!$A$4:$A$238,"Secretary",'PRODUCTS AND SERVICES'!$F$4:$F$238,$B50&amp;"*")</f>
        <v>0</v>
      </c>
      <c r="S50" s="49">
        <f>SUM(C50:R50)</f>
        <v>2</v>
      </c>
      <c r="T50" s="82">
        <f t="shared" si="5"/>
        <v>8.5470085470085479E-3</v>
      </c>
    </row>
    <row r="51" spans="1:20" x14ac:dyDescent="0.3">
      <c r="A51" s="33" t="s">
        <v>842</v>
      </c>
      <c r="B51" s="47" t="s">
        <v>301</v>
      </c>
      <c r="C51" s="48">
        <f>COUNTIFS('PRODUCTS AND SERVICES'!$A$4:$A$237,"Administration",'PRODUCTS AND SERVICES'!$F$4:$F$237,$B51&amp;"*")</f>
        <v>1</v>
      </c>
      <c r="D51" s="48">
        <f>COUNTIFS('PRODUCTS AND SERVICES'!$A$4:$A$237,"Chief Financial Officer",'PRODUCTS AND SERVICES'!$F$4:$F$237,$B51&amp;"*")</f>
        <v>0</v>
      </c>
      <c r="E51" s="48">
        <f>COUNTIFS('PRODUCTS AND SERVICES'!$A$4:$A$237,"Chief Human Capital Officer",'PRODUCTS AND SERVICES'!$F$4:$F$237,$B51&amp;"*")</f>
        <v>0</v>
      </c>
      <c r="F51" s="48">
        <f>COUNTIFS('PRODUCTS AND SERVICES'!$A$4:$A$237,"Chief Information Officer",'PRODUCTS AND SERVICES'!$F$4:$F$237,$B51&amp;"*")</f>
        <v>0</v>
      </c>
      <c r="G51" s="63">
        <f>COUNTIFS('PRODUCTS AND SERVICES'!$A$4:$A$237,"Chief Procurement Officer",'PRODUCTS AND SERVICES'!$F$4:$F$237,$B51&amp;"*")</f>
        <v>0</v>
      </c>
      <c r="H51" s="48">
        <f>COUNTIFS('PRODUCTS AND SERVICES'!$A$4:$A$237,"Community Planning and Development",'PRODUCTS AND SERVICES'!$F$4:$F$237,$B51&amp;"*")</f>
        <v>0</v>
      </c>
      <c r="I51" s="48">
        <f>COUNTIFS('PRODUCTS AND SERVICES'!$A$4:$A$237,"Community Planning and Development",'PRODUCTS AND SERVICES'!$F$4:$F$237,$B51&amp;"*")</f>
        <v>0</v>
      </c>
      <c r="J51" s="48">
        <f>COUNTIFS('PRODUCTS AND SERVICES'!$A$4:$A$237,"Fair Housing and Equal Opportunity",'PRODUCTS AND SERVICES'!$F$4:$F$237,$B51&amp;"*")</f>
        <v>0</v>
      </c>
      <c r="K51" s="48">
        <f>COUNTIFS('PRODUCTS AND SERVICES'!$A$4:$A$237,"Field Policy &amp; Management",'PRODUCTS AND SERVICES'!$F$4:$F$237,$B51&amp;"*")</f>
        <v>0</v>
      </c>
      <c r="L51" s="48">
        <f>COUNTIFS('PRODUCTS AND SERVICES'!$A$4:$A$237,"General Counsel",'PRODUCTS AND SERVICES'!$F$4:$F$237,$B51&amp;"*")</f>
        <v>0</v>
      </c>
      <c r="M51" s="48">
        <f>COUNTIFS('PRODUCTS AND SERVICES'!$A$4:$A$237,"Ginnie Mae",'PRODUCTS AND SERVICES'!$F$4:$F$237,$B51&amp;"*")</f>
        <v>0</v>
      </c>
      <c r="N51" s="48">
        <f>COUNTIFS('PRODUCTS AND SERVICES'!$A$4:$A$237,"Housing",'PRODUCTS AND SERVICES'!$F$4:$F$237,$B51&amp;"*")</f>
        <v>0</v>
      </c>
      <c r="O51" s="48">
        <f>COUNTIFS('PRODUCTS AND SERVICES'!$A$4:$A$237,"Lead Hazard Control and Healthy Homes",'PRODUCTS AND SERVICES'!$F$4:$F$237,$B51&amp;"*")</f>
        <v>0</v>
      </c>
      <c r="P51" s="48">
        <f>COUNTIFS('PRODUCTS AND SERVICES'!$A$4:$A$237,"Policy Development and Research",'PRODUCTS AND SERVICES'!$F$4:$F$237,$B51&amp;"*")</f>
        <v>0</v>
      </c>
      <c r="Q51" s="48">
        <f>COUNTIFS('PRODUCTS AND SERVICES'!$A$4:$A$237,"Public and Indian Housing",'PRODUCTS AND SERVICES'!$F$4:$F$237,$B51&amp;"*")</f>
        <v>0</v>
      </c>
      <c r="R51" s="48">
        <f>COUNTIFS('PRODUCTS AND SERVICES'!$A$4:$A$237,"Secretary",'PRODUCTS AND SERVICES'!$F$4:$F$237,$B51&amp;"*")</f>
        <v>0</v>
      </c>
      <c r="S51" s="49">
        <f>SUM(C51:R51)</f>
        <v>1</v>
      </c>
      <c r="T51" s="82">
        <f t="shared" si="5"/>
        <v>4.2735042735042739E-3</v>
      </c>
    </row>
    <row r="52" spans="1:20" x14ac:dyDescent="0.3">
      <c r="A52" s="33" t="s">
        <v>843</v>
      </c>
      <c r="B52" s="47" t="s">
        <v>281</v>
      </c>
      <c r="C52" s="48">
        <f>COUNTIFS('PRODUCTS AND SERVICES'!$A$4:$A$237,"Administration",'PRODUCTS AND SERVICES'!$F$4:$F$237,$B52&amp;"*")</f>
        <v>1</v>
      </c>
      <c r="D52" s="48">
        <f>COUNTIFS('PRODUCTS AND SERVICES'!$A$4:$A$237,"Chief Financial Officer",'PRODUCTS AND SERVICES'!$F$4:$F$237,$B52&amp;"*")</f>
        <v>0</v>
      </c>
      <c r="E52" s="48">
        <f>COUNTIFS('PRODUCTS AND SERVICES'!$A$4:$A$237,"Chief Human Capital Officer",'PRODUCTS AND SERVICES'!$F$4:$F$237,$B52&amp;"*")</f>
        <v>0</v>
      </c>
      <c r="F52" s="48">
        <f>COUNTIFS('PRODUCTS AND SERVICES'!$A$4:$A$237,"Chief Information Officer",'PRODUCTS AND SERVICES'!$F$4:$F$237,$B52&amp;"*")</f>
        <v>0</v>
      </c>
      <c r="G52" s="63">
        <f>COUNTIFS('PRODUCTS AND SERVICES'!$A$4:$A$237,"Chief Procurement Officer",'PRODUCTS AND SERVICES'!$F$4:$F$237,$B52&amp;"*")</f>
        <v>0</v>
      </c>
      <c r="H52" s="48">
        <f>COUNTIFS('PRODUCTS AND SERVICES'!$A$4:$A$237,"Community Planning and Development",'PRODUCTS AND SERVICES'!$F$4:$F$237,$B52&amp;"*")</f>
        <v>0</v>
      </c>
      <c r="I52" s="48">
        <f>COUNTIFS('PRODUCTS AND SERVICES'!$A$4:$A$237,"Community Planning and Development",'PRODUCTS AND SERVICES'!$F$4:$F$237,$B52&amp;"*")</f>
        <v>0</v>
      </c>
      <c r="J52" s="48">
        <f>COUNTIFS('PRODUCTS AND SERVICES'!$A$4:$A$237,"Fair Housing and Equal Opportunity",'PRODUCTS AND SERVICES'!$F$4:$F$237,$B52&amp;"*")</f>
        <v>0</v>
      </c>
      <c r="K52" s="48">
        <f>COUNTIFS('PRODUCTS AND SERVICES'!$A$4:$A$237,"Field Policy &amp; Management",'PRODUCTS AND SERVICES'!$F$4:$F$237,$B52&amp;"*")</f>
        <v>0</v>
      </c>
      <c r="L52" s="48">
        <f>COUNTIFS('PRODUCTS AND SERVICES'!$A$4:$A$237,"General Counsel",'PRODUCTS AND SERVICES'!$F$4:$F$237,$B52&amp;"*")</f>
        <v>0</v>
      </c>
      <c r="M52" s="48">
        <f>COUNTIFS('PRODUCTS AND SERVICES'!$A$4:$A$237,"Ginnie Mae",'PRODUCTS AND SERVICES'!$F$4:$F$237,$B52&amp;"*")</f>
        <v>0</v>
      </c>
      <c r="N52" s="48">
        <f>COUNTIFS('PRODUCTS AND SERVICES'!$A$4:$A$237,"Housing",'PRODUCTS AND SERVICES'!$F$4:$F$237,$B52&amp;"*")</f>
        <v>0</v>
      </c>
      <c r="O52" s="48">
        <f>COUNTIFS('PRODUCTS AND SERVICES'!$A$4:$A$237,"Lead Hazard Control and Healthy Homes",'PRODUCTS AND SERVICES'!$F$4:$F$237,$B52&amp;"*")</f>
        <v>0</v>
      </c>
      <c r="P52" s="48">
        <f>COUNTIFS('PRODUCTS AND SERVICES'!$A$4:$A$237,"Policy Development and Research",'PRODUCTS AND SERVICES'!$F$4:$F$237,$B52&amp;"*")</f>
        <v>0</v>
      </c>
      <c r="Q52" s="48">
        <f>COUNTIFS('PRODUCTS AND SERVICES'!$A$4:$A$237,"Public and Indian Housing",'PRODUCTS AND SERVICES'!$F$4:$F$237,$B52&amp;"*")</f>
        <v>0</v>
      </c>
      <c r="R52" s="48">
        <f>COUNTIFS('PRODUCTS AND SERVICES'!$A$4:$A$237,"Secretary",'PRODUCTS AND SERVICES'!$F$4:$F$237,$B52&amp;"*")</f>
        <v>0</v>
      </c>
      <c r="S52" s="49">
        <f>SUM(C52:R52)</f>
        <v>1</v>
      </c>
      <c r="T52" s="82">
        <f t="shared" si="5"/>
        <v>4.2735042735042739E-3</v>
      </c>
    </row>
    <row r="53" spans="1:20" x14ac:dyDescent="0.3">
      <c r="A53" s="33" t="s">
        <v>247</v>
      </c>
      <c r="B53" s="61">
        <v>561920</v>
      </c>
      <c r="C53" s="48">
        <f>COUNTIFS('PRODUCTS AND SERVICES'!$A$4:$A$238,"Administration",'PRODUCTS AND SERVICES'!$F$4:$F$238,$B53&amp;"*")</f>
        <v>0</v>
      </c>
      <c r="D53" s="48">
        <f>COUNTIFS('PRODUCTS AND SERVICES'!$A$4:$A$238,"Chief Financial Officer",'PRODUCTS AND SERVICES'!$F$4:$F$238,$B53&amp;"*")</f>
        <v>0</v>
      </c>
      <c r="E53" s="48">
        <f>COUNTIFS('PRODUCTS AND SERVICES'!$A$4:$A$238,"Chief Human Capital Officer",'PRODUCTS AND SERVICES'!$F$4:$F$238,$B53&amp;"*")</f>
        <v>0</v>
      </c>
      <c r="F53" s="48">
        <f>COUNTIFS('PRODUCTS AND SERVICES'!$A$4:$A$238,"Chief Information Officer",'PRODUCTS AND SERVICES'!$F$4:$F$238,$B53&amp;"*")</f>
        <v>0</v>
      </c>
      <c r="G53" s="34">
        <f>COUNTIFS('PRODUCTS AND SERVICES'!$A$4:$A$238,"Chief Procurement Officer",'PRODUCTS AND SERVICES'!$F$4:$F$238,$B53&amp;"*")</f>
        <v>0</v>
      </c>
      <c r="H53" s="48">
        <f>COUNTIFS('PRODUCTS AND SERVICES'!$A$4:$A$238,"Community Planning and Development",'PRODUCTS AND SERVICES'!$F$4:$F$238,$B53&amp;"*")</f>
        <v>0</v>
      </c>
      <c r="I53" s="48">
        <f>COUNTIFS('PRODUCTS AND SERVICES'!$A$4:$A$238,"Departmental Equal Employment Opportunity",'PRODUCTS AND SERVICES'!$F$4:$F$238,$B53&amp;"*")</f>
        <v>0</v>
      </c>
      <c r="J53" s="48">
        <f>COUNTIFS('PRODUCTS AND SERVICES'!$A$4:$A$238,"Fair Housing and Equal Opportunity",'PRODUCTS AND SERVICES'!$F$4:$F$238,$B53&amp;"*")</f>
        <v>0</v>
      </c>
      <c r="K53" s="48">
        <f>COUNTIFS('PRODUCTS AND SERVICES'!$A$4:$A$238,"Field Policy and Management",'PRODUCTS AND SERVICES'!$F$4:$F$238,$B53&amp;"*")</f>
        <v>0</v>
      </c>
      <c r="L53" s="48">
        <f>COUNTIFS('PRODUCTS AND SERVICES'!$A$4:$A$238,"General Counsel",'PRODUCTS AND SERVICES'!$F$4:$F$238,$B53&amp;"*")</f>
        <v>0</v>
      </c>
      <c r="M53" s="48">
        <f>COUNTIFS('PRODUCTS AND SERVICES'!$A$4:$A$238,"Ginnie Mae",'PRODUCTS AND SERVICES'!$F$4:$F$238,$B53&amp;"*")</f>
        <v>8</v>
      </c>
      <c r="N53" s="48">
        <f>COUNTIFS('PRODUCTS AND SERVICES'!$A$4:$A$238,"Housing",'PRODUCTS AND SERVICES'!$F$4:$F$238,$B53&amp;"*")</f>
        <v>0</v>
      </c>
      <c r="O53" s="48">
        <f>COUNTIFS('PRODUCTS AND SERVICES'!$A$4:$A$238,"Lead Hazard Control and Healthy Homes",'PRODUCTS AND SERVICES'!$F$4:$F$238,$B53&amp;"*")</f>
        <v>0</v>
      </c>
      <c r="P53" s="48">
        <f>COUNTIFS('PRODUCTS AND SERVICES'!$A$4:$A$238,"Policy Development and Research",'PRODUCTS AND SERVICES'!$F$4:$F$238,$B53&amp;"*")</f>
        <v>0</v>
      </c>
      <c r="Q53" s="48">
        <f>COUNTIFS('PRODUCTS AND SERVICES'!$A$4:$A$238,"Public and Indian Housing",'PRODUCTS AND SERVICES'!$F$4:$F$238,$B53&amp;"*")</f>
        <v>1</v>
      </c>
      <c r="R53" s="48">
        <f>COUNTIFS('PRODUCTS AND SERVICES'!$A$4:$A$238,"Secretary",'PRODUCTS AND SERVICES'!$F$4:$F$238,$B53&amp;"*")</f>
        <v>0</v>
      </c>
      <c r="S53" s="49">
        <f t="shared" si="0"/>
        <v>9</v>
      </c>
      <c r="T53" s="82">
        <f t="shared" si="5"/>
        <v>3.8461538461538464E-2</v>
      </c>
    </row>
    <row r="54" spans="1:20" x14ac:dyDescent="0.3">
      <c r="A54" s="33" t="s">
        <v>844</v>
      </c>
      <c r="B54" s="47" t="s">
        <v>491</v>
      </c>
      <c r="C54" s="48">
        <f>COUNTIFS('PRODUCTS AND SERVICES'!$A$4:$A$237,"Administration",'PRODUCTS AND SERVICES'!$F$4:$F$237,$B54&amp;"*")</f>
        <v>0</v>
      </c>
      <c r="D54" s="48">
        <f>COUNTIFS('PRODUCTS AND SERVICES'!$A$4:$A$237,"Chief Financial Officer",'PRODUCTS AND SERVICES'!$F$4:$F$237,$B54&amp;"*")</f>
        <v>0</v>
      </c>
      <c r="E54" s="48">
        <f>COUNTIFS('PRODUCTS AND SERVICES'!$A$4:$A$237,"Chief Human Capital Officer",'PRODUCTS AND SERVICES'!$F$4:$F$237,$B54&amp;"*")</f>
        <v>0</v>
      </c>
      <c r="F54" s="48">
        <f>COUNTIFS('PRODUCTS AND SERVICES'!$A$4:$A$237,"Chief Information Officer",'PRODUCTS AND SERVICES'!$F$4:$F$237,$B54&amp;"*")</f>
        <v>0</v>
      </c>
      <c r="G54" s="63">
        <f>COUNTIFS('PRODUCTS AND SERVICES'!$A$4:$A$237,"Chief Procurement Officer",'PRODUCTS AND SERVICES'!$F$4:$F$237,$B54&amp;"*")</f>
        <v>0</v>
      </c>
      <c r="H54" s="48">
        <f>COUNTIFS('PRODUCTS AND SERVICES'!$A$4:$A$237,"Community Planning and Development",'PRODUCTS AND SERVICES'!$F$4:$F$237,$B54&amp;"*")</f>
        <v>0</v>
      </c>
      <c r="I54" s="48">
        <f>COUNTIFS('PRODUCTS AND SERVICES'!$A$4:$A$237,"Community Planning and Development",'PRODUCTS AND SERVICES'!$F$4:$F$237,$B54&amp;"*")</f>
        <v>0</v>
      </c>
      <c r="J54" s="48">
        <f>COUNTIFS('PRODUCTS AND SERVICES'!$A$4:$A$237,"Fair Housing and Equal Opportunity",'PRODUCTS AND SERVICES'!$F$4:$F$237,$B54&amp;"*")</f>
        <v>0</v>
      </c>
      <c r="K54" s="48">
        <f>COUNTIFS('PRODUCTS AND SERVICES'!$A$4:$A$237,"Field Policy &amp; Management",'PRODUCTS AND SERVICES'!$F$4:$F$237,$B54&amp;"*")</f>
        <v>0</v>
      </c>
      <c r="L54" s="48">
        <f>COUNTIFS('PRODUCTS AND SERVICES'!$A$4:$A$237,"General Counsel",'PRODUCTS AND SERVICES'!$F$4:$F$237,$B54&amp;"*")</f>
        <v>0</v>
      </c>
      <c r="M54" s="48">
        <f>COUNTIFS('PRODUCTS AND SERVICES'!$A$4:$A$237,"Ginnie Mae",'PRODUCTS AND SERVICES'!$F$4:$F$237,$B54&amp;"*")</f>
        <v>0</v>
      </c>
      <c r="N54" s="48">
        <f>COUNTIFS('PRODUCTS AND SERVICES'!$A$4:$A$237,"Housing",'PRODUCTS AND SERVICES'!$F$4:$F$237,$B54&amp;"*")</f>
        <v>2</v>
      </c>
      <c r="O54" s="48">
        <f>COUNTIFS('PRODUCTS AND SERVICES'!$A$4:$A$237,"Lead Hazard Control and Healthy Homes",'PRODUCTS AND SERVICES'!$F$4:$F$237,$B54&amp;"*")</f>
        <v>0</v>
      </c>
      <c r="P54" s="48">
        <f>COUNTIFS('PRODUCTS AND SERVICES'!$A$4:$A$237,"Policy Development and Research",'PRODUCTS AND SERVICES'!$F$4:$F$237,$B54&amp;"*")</f>
        <v>0</v>
      </c>
      <c r="Q54" s="48">
        <f>COUNTIFS('PRODUCTS AND SERVICES'!$A$4:$A$237,"Public and Indian Housing",'PRODUCTS AND SERVICES'!$F$4:$F$237,$B54&amp;"*")</f>
        <v>0</v>
      </c>
      <c r="R54" s="48">
        <f>COUNTIFS('PRODUCTS AND SERVICES'!$A$4:$A$237,"Secretary",'PRODUCTS AND SERVICES'!$F$4:$F$237,$B54&amp;"*")</f>
        <v>0</v>
      </c>
      <c r="S54" s="49">
        <f>SUM(C54:R54)</f>
        <v>2</v>
      </c>
      <c r="T54" s="82">
        <f t="shared" si="5"/>
        <v>8.5470085470085479E-3</v>
      </c>
    </row>
    <row r="55" spans="1:20" x14ac:dyDescent="0.3">
      <c r="A55" s="33" t="s">
        <v>845</v>
      </c>
      <c r="B55" s="47" t="s">
        <v>448</v>
      </c>
      <c r="C55" s="48">
        <f>COUNTIFS('PRODUCTS AND SERVICES'!$A$4:$A$237,"Administration",'PRODUCTS AND SERVICES'!$F$4:$F$237,$B55&amp;"*")</f>
        <v>0</v>
      </c>
      <c r="D55" s="48">
        <f>COUNTIFS('PRODUCTS AND SERVICES'!$A$4:$A$237,"Chief Financial Officer",'PRODUCTS AND SERVICES'!$F$4:$F$237,$B55&amp;"*")</f>
        <v>0</v>
      </c>
      <c r="E55" s="48">
        <f>COUNTIFS('PRODUCTS AND SERVICES'!$A$4:$A$237,"Chief Human Capital Officer",'PRODUCTS AND SERVICES'!$F$4:$F$237,$B55&amp;"*")</f>
        <v>0</v>
      </c>
      <c r="F55" s="48">
        <f>COUNTIFS('PRODUCTS AND SERVICES'!$A$4:$A$237,"Chief Information Officer",'PRODUCTS AND SERVICES'!$F$4:$F$237,$B55&amp;"*")</f>
        <v>0</v>
      </c>
      <c r="G55" s="63">
        <f>COUNTIFS('PRODUCTS AND SERVICES'!$A$4:$A$237,"Chief Procurement Officer",'PRODUCTS AND SERVICES'!$F$4:$F$237,$B55&amp;"*")</f>
        <v>0</v>
      </c>
      <c r="H55" s="48">
        <f>COUNTIFS('PRODUCTS AND SERVICES'!$A$4:$A$237,"Community Planning and Development",'PRODUCTS AND SERVICES'!$F$4:$F$237,$B55&amp;"*")</f>
        <v>0</v>
      </c>
      <c r="I55" s="48">
        <f>COUNTIFS('PRODUCTS AND SERVICES'!$A$4:$A$237,"Community Planning and Development",'PRODUCTS AND SERVICES'!$F$4:$F$237,$B55&amp;"*")</f>
        <v>0</v>
      </c>
      <c r="J55" s="48">
        <f>COUNTIFS('PRODUCTS AND SERVICES'!$A$4:$A$237,"Fair Housing and Equal Opportunity",'PRODUCTS AND SERVICES'!$F$4:$F$237,$B55&amp;"*")</f>
        <v>0</v>
      </c>
      <c r="K55" s="48">
        <f>COUNTIFS('PRODUCTS AND SERVICES'!$A$4:$A$237,"Field Policy &amp; Management",'PRODUCTS AND SERVICES'!$F$4:$F$237,$B55&amp;"*")</f>
        <v>0</v>
      </c>
      <c r="L55" s="48">
        <f>COUNTIFS('PRODUCTS AND SERVICES'!$A$4:$A$237,"General Counsel",'PRODUCTS AND SERVICES'!$F$4:$F$237,$B55&amp;"*")</f>
        <v>0</v>
      </c>
      <c r="M55" s="48">
        <f>COUNTIFS('PRODUCTS AND SERVICES'!$A$4:$A$237,"Ginnie Mae",'PRODUCTS AND SERVICES'!$F$4:$F$237,$B55&amp;"*")</f>
        <v>1</v>
      </c>
      <c r="N55" s="48">
        <f>COUNTIFS('PRODUCTS AND SERVICES'!$A$4:$A$237,"Housing",'PRODUCTS AND SERVICES'!$F$4:$F$237,$B55&amp;"*")</f>
        <v>0</v>
      </c>
      <c r="O55" s="48">
        <f>COUNTIFS('PRODUCTS AND SERVICES'!$A$4:$A$237,"Lead Hazard Control and Healthy Homes",'PRODUCTS AND SERVICES'!$F$4:$F$237,$B55&amp;"*")</f>
        <v>0</v>
      </c>
      <c r="P55" s="48">
        <f>COUNTIFS('PRODUCTS AND SERVICES'!$A$4:$A$237,"Policy Development and Research",'PRODUCTS AND SERVICES'!$F$4:$F$237,$B55&amp;"*")</f>
        <v>0</v>
      </c>
      <c r="Q55" s="48">
        <f>COUNTIFS('PRODUCTS AND SERVICES'!$A$4:$A$237,"Public and Indian Housing",'PRODUCTS AND SERVICES'!$F$4:$F$237,$B55&amp;"*")</f>
        <v>0</v>
      </c>
      <c r="R55" s="48">
        <f>COUNTIFS('PRODUCTS AND SERVICES'!$A$4:$A$237,"Secretary",'PRODUCTS AND SERVICES'!$F$4:$F$237,$B55&amp;"*")</f>
        <v>0</v>
      </c>
      <c r="S55" s="49">
        <f>SUM(C55:R55)</f>
        <v>1</v>
      </c>
      <c r="T55" s="82">
        <f t="shared" si="5"/>
        <v>4.2735042735042739E-3</v>
      </c>
    </row>
    <row r="56" spans="1:20" x14ac:dyDescent="0.3">
      <c r="A56" s="33" t="s">
        <v>248</v>
      </c>
      <c r="B56" s="47">
        <v>611430</v>
      </c>
      <c r="C56" s="48">
        <f>COUNTIFS('PRODUCTS AND SERVICES'!$A$4:$A$238,"Administration",'PRODUCTS AND SERVICES'!$F$4:$F$238,$B56&amp;"*")</f>
        <v>0</v>
      </c>
      <c r="D56" s="48">
        <f>COUNTIFS('PRODUCTS AND SERVICES'!$A$4:$A$238,"Chief Financial Officer",'PRODUCTS AND SERVICES'!$F$4:$F$238,$B56&amp;"*")</f>
        <v>0</v>
      </c>
      <c r="E56" s="48">
        <f>COUNTIFS('PRODUCTS AND SERVICES'!$A$4:$A$238,"Chief Human Capital Officer",'PRODUCTS AND SERVICES'!$F$4:$F$238,$B56&amp;"*")</f>
        <v>0</v>
      </c>
      <c r="F56" s="48">
        <f>COUNTIFS('PRODUCTS AND SERVICES'!$A$4:$A$238,"Chief Information Officer",'PRODUCTS AND SERVICES'!$F$4:$F$238,$B56&amp;"*")</f>
        <v>0</v>
      </c>
      <c r="G56" s="34">
        <f>COUNTIFS('PRODUCTS AND SERVICES'!$A$4:$A$238,"Chief Procurement Officer",'PRODUCTS AND SERVICES'!$F$4:$F$238,$B56&amp;"*")</f>
        <v>0</v>
      </c>
      <c r="H56" s="48">
        <f>COUNTIFS('PRODUCTS AND SERVICES'!$A$4:$A$238,"Community Planning and Development",'PRODUCTS AND SERVICES'!$F$4:$F$238,$B56&amp;"*")</f>
        <v>0</v>
      </c>
      <c r="I56" s="48">
        <f>COUNTIFS('PRODUCTS AND SERVICES'!$A$4:$A$238,"Departmental Equal Employment Opportunity",'PRODUCTS AND SERVICES'!$F$4:$F$238,$B56&amp;"*")</f>
        <v>0</v>
      </c>
      <c r="J56" s="48">
        <f>COUNTIFS('PRODUCTS AND SERVICES'!$A$4:$A$238,"Fair Housing and Equal Opportunity",'PRODUCTS AND SERVICES'!$F$4:$F$238,$B56&amp;"*")</f>
        <v>0</v>
      </c>
      <c r="K56" s="48">
        <f>COUNTIFS('PRODUCTS AND SERVICES'!$A$4:$A$238,"Field Policy and Management",'PRODUCTS AND SERVICES'!$F$4:$F$238,$B56&amp;"*")</f>
        <v>0</v>
      </c>
      <c r="L56" s="48">
        <f>COUNTIFS('PRODUCTS AND SERVICES'!$A$4:$A$238,"General Counsel",'PRODUCTS AND SERVICES'!$F$4:$F$238,$B56&amp;"*")</f>
        <v>0</v>
      </c>
      <c r="M56" s="48">
        <f>COUNTIFS('PRODUCTS AND SERVICES'!$A$4:$A$238,"Ginnie Mae",'PRODUCTS AND SERVICES'!$F$4:$F$238,$B56&amp;"*")</f>
        <v>0</v>
      </c>
      <c r="N56" s="48">
        <f>COUNTIFS('PRODUCTS AND SERVICES'!$A$4:$A$238,"Housing",'PRODUCTS AND SERVICES'!$F$4:$F$238,$B56&amp;"*")</f>
        <v>6</v>
      </c>
      <c r="O56" s="48">
        <f>COUNTIFS('PRODUCTS AND SERVICES'!$A$4:$A$238,"Lead Hazard Control and Healthy Homes",'PRODUCTS AND SERVICES'!$F$4:$F$238,$B56&amp;"*")</f>
        <v>0</v>
      </c>
      <c r="P56" s="48">
        <f>COUNTIFS('PRODUCTS AND SERVICES'!$A$4:$A$238,"Policy Development and Research",'PRODUCTS AND SERVICES'!$F$4:$F$238,$B56&amp;"*")</f>
        <v>0</v>
      </c>
      <c r="Q56" s="48">
        <f>COUNTIFS('PRODUCTS AND SERVICES'!$A$4:$A$238,"Public and Indian Housing",'PRODUCTS AND SERVICES'!$F$4:$F$238,$B56&amp;"*")</f>
        <v>4</v>
      </c>
      <c r="R56" s="48">
        <f>COUNTIFS('PRODUCTS AND SERVICES'!$A$4:$A$238,"Secretary",'PRODUCTS AND SERVICES'!$F$4:$F$238,$B56&amp;"*")</f>
        <v>0</v>
      </c>
      <c r="S56" s="49">
        <f t="shared" si="0"/>
        <v>10</v>
      </c>
      <c r="T56" s="82">
        <f t="shared" si="5"/>
        <v>4.2735042735042736E-2</v>
      </c>
    </row>
    <row r="57" spans="1:20" x14ac:dyDescent="0.3">
      <c r="A57" s="33" t="s">
        <v>846</v>
      </c>
      <c r="B57" s="61">
        <v>721110</v>
      </c>
      <c r="C57" s="48">
        <f>COUNTIFS('PRODUCTS AND SERVICES'!$A$4:$A$238,"Administration",'PRODUCTS AND SERVICES'!$F$4:$F$238,$B57&amp;"*")</f>
        <v>0</v>
      </c>
      <c r="D57" s="48">
        <f>COUNTIFS('PRODUCTS AND SERVICES'!$A$4:$A$238,"Chief Financial Officer",'PRODUCTS AND SERVICES'!$F$4:$F$238,$B57&amp;"*")</f>
        <v>0</v>
      </c>
      <c r="E57" s="48">
        <f>COUNTIFS('PRODUCTS AND SERVICES'!$A$4:$A$238,"Chief Human Capital Officer",'PRODUCTS AND SERVICES'!$F$4:$F$238,$B57&amp;"*")</f>
        <v>0</v>
      </c>
      <c r="F57" s="48">
        <f>COUNTIFS('PRODUCTS AND SERVICES'!$A$4:$A$238,"Chief Information Officer",'PRODUCTS AND SERVICES'!$F$4:$F$238,$B57&amp;"*")</f>
        <v>0</v>
      </c>
      <c r="G57" s="34">
        <f>COUNTIFS('PRODUCTS AND SERVICES'!$A$4:$A$238,"Chief Procurement Officer",'PRODUCTS AND SERVICES'!$F$4:$F$238,$B57&amp;"*")</f>
        <v>0</v>
      </c>
      <c r="H57" s="48">
        <f>COUNTIFS('PRODUCTS AND SERVICES'!$A$4:$A$238,"Community Planning and Development",'PRODUCTS AND SERVICES'!$F$4:$F$238,$B57&amp;"*")</f>
        <v>0</v>
      </c>
      <c r="I57" s="48">
        <f>COUNTIFS('PRODUCTS AND SERVICES'!$A$4:$A$238,"Departmental Equal Employment Opportunity",'PRODUCTS AND SERVICES'!$F$4:$F$238,$B57&amp;"*")</f>
        <v>0</v>
      </c>
      <c r="J57" s="48">
        <f>COUNTIFS('PRODUCTS AND SERVICES'!$A$4:$A$238,"Fair Housing and Equal Opportunity",'PRODUCTS AND SERVICES'!$F$4:$F$238,$B57&amp;"*")</f>
        <v>0</v>
      </c>
      <c r="K57" s="48">
        <f>COUNTIFS('PRODUCTS AND SERVICES'!$A$4:$A$238,"Field Policy and Management",'PRODUCTS AND SERVICES'!$F$4:$F$238,$B57&amp;"*")</f>
        <v>4</v>
      </c>
      <c r="L57" s="48">
        <f>COUNTIFS('PRODUCTS AND SERVICES'!$A$4:$A$238,"General Counsel",'PRODUCTS AND SERVICES'!$F$4:$F$238,$B57&amp;"*")</f>
        <v>0</v>
      </c>
      <c r="M57" s="48">
        <f>COUNTIFS('PRODUCTS AND SERVICES'!$A$4:$A$238,"Ginnie Mae",'PRODUCTS AND SERVICES'!$F$4:$F$238,$B57&amp;"*")</f>
        <v>0</v>
      </c>
      <c r="N57" s="48">
        <f>COUNTIFS('PRODUCTS AND SERVICES'!$A$4:$A$238,"Housing",'PRODUCTS AND SERVICES'!$F$4:$F$238,$B57&amp;"*")</f>
        <v>0</v>
      </c>
      <c r="O57" s="48">
        <f>COUNTIFS('PRODUCTS AND SERVICES'!$A$4:$A$238,"Lead Hazard Control and Healthy Homes",'PRODUCTS AND SERVICES'!$F$4:$F$238,$B57&amp;"*")</f>
        <v>0</v>
      </c>
      <c r="P57" s="48">
        <f>COUNTIFS('PRODUCTS AND SERVICES'!$A$4:$A$238,"Policy Development and Research",'PRODUCTS AND SERVICES'!$F$4:$F$238,$B57&amp;"*")</f>
        <v>0</v>
      </c>
      <c r="Q57" s="48">
        <f>COUNTIFS('PRODUCTS AND SERVICES'!$A$4:$A$238,"Public and Indian Housing",'PRODUCTS AND SERVICES'!$F$4:$F$238,$B57&amp;"*")</f>
        <v>0</v>
      </c>
      <c r="R57" s="48">
        <f>COUNTIFS('PRODUCTS AND SERVICES'!$A$4:$A$238,"Secretary",'PRODUCTS AND SERVICES'!$F$4:$F$238,$B57&amp;"*")</f>
        <v>0</v>
      </c>
      <c r="S57" s="49">
        <f t="shared" si="0"/>
        <v>4</v>
      </c>
      <c r="T57" s="82">
        <f t="shared" si="5"/>
        <v>1.7094017094017096E-2</v>
      </c>
    </row>
    <row r="58" spans="1:20" ht="15" thickBot="1" x14ac:dyDescent="0.35">
      <c r="A58" s="33" t="s">
        <v>847</v>
      </c>
      <c r="B58" s="47" t="s">
        <v>319</v>
      </c>
      <c r="C58" s="48">
        <f>COUNTIFS('PRODUCTS AND SERVICES'!$A$4:$A$238,"Administration",'PRODUCTS AND SERVICES'!$F$4:$F$238,$B58&amp;"*")</f>
        <v>0</v>
      </c>
      <c r="D58" s="48">
        <f>COUNTIFS('PRODUCTS AND SERVICES'!$A$4:$A$238,"Chief Financial Officer",'PRODUCTS AND SERVICES'!$F$4:$F$238,$B58&amp;"*")</f>
        <v>0</v>
      </c>
      <c r="E58" s="48">
        <f>COUNTIFS('PRODUCTS AND SERVICES'!$A$4:$A$238,"Chief Human Capital Officer",'PRODUCTS AND SERVICES'!$F$4:$F$238,$B58&amp;"*")</f>
        <v>1</v>
      </c>
      <c r="F58" s="48">
        <f>COUNTIFS('PRODUCTS AND SERVICES'!$A$4:$A$238,"Chief Information Officer",'PRODUCTS AND SERVICES'!$F$4:$F$238,$B58&amp;"*")</f>
        <v>0</v>
      </c>
      <c r="G58" s="34">
        <f>COUNTIFS('PRODUCTS AND SERVICES'!$A$4:$A$238,"Chief Procurement Officer",'PRODUCTS AND SERVICES'!$F$4:$F$238,$B58&amp;"*")</f>
        <v>2</v>
      </c>
      <c r="H58" s="48">
        <f>COUNTIFS('PRODUCTS AND SERVICES'!$A$4:$A$238,"Community Planning and Development",'PRODUCTS AND SERVICES'!$F$4:$F$238,$B58&amp;"*")</f>
        <v>0</v>
      </c>
      <c r="I58" s="48">
        <f>COUNTIFS('PRODUCTS AND SERVICES'!$A$4:$A$238,"Departmental Equal Employment Opportunity",'PRODUCTS AND SERVICES'!$F$4:$F$238,$B58&amp;"*")</f>
        <v>0</v>
      </c>
      <c r="J58" s="48">
        <f>COUNTIFS('PRODUCTS AND SERVICES'!$A$4:$A$238,"Fair Housing and Equal Opportunity",'PRODUCTS AND SERVICES'!$F$4:$F$238,$B58&amp;"*")</f>
        <v>0</v>
      </c>
      <c r="K58" s="48">
        <f>COUNTIFS('PRODUCTS AND SERVICES'!$A$4:$A$238,"Field Policy and Management",'PRODUCTS AND SERVICES'!$F$4:$F$238,$B58&amp;"*")</f>
        <v>0</v>
      </c>
      <c r="L58" s="48">
        <f>COUNTIFS('PRODUCTS AND SERVICES'!$A$4:$A$238,"General Counsel",'PRODUCTS AND SERVICES'!$F$4:$F$238,$B58&amp;"*")</f>
        <v>0</v>
      </c>
      <c r="M58" s="48">
        <f>COUNTIFS('PRODUCTS AND SERVICES'!$A$4:$A$238,"Ginnie Mae",'PRODUCTS AND SERVICES'!$F$4:$F$238,$B58&amp;"*")</f>
        <v>0</v>
      </c>
      <c r="N58" s="48">
        <f>COUNTIFS('PRODUCTS AND SERVICES'!$A$4:$A$238,"Housing",'PRODUCTS AND SERVICES'!$F$4:$F$238,$B58&amp;"*")</f>
        <v>0</v>
      </c>
      <c r="O58" s="48">
        <f>COUNTIFS('PRODUCTS AND SERVICES'!$A$4:$A$238,"Lead Hazard Control and Healthy Homes",'PRODUCTS AND SERVICES'!$F$4:$F$238,$B58&amp;"*")</f>
        <v>0</v>
      </c>
      <c r="P58" s="48">
        <f>COUNTIFS('PRODUCTS AND SERVICES'!$A$4:$A$238,"Policy Development and Research",'PRODUCTS AND SERVICES'!$F$4:$F$238,$B58&amp;"*")</f>
        <v>0</v>
      </c>
      <c r="Q58" s="48">
        <f>COUNTIFS('PRODUCTS AND SERVICES'!$A$4:$A$238,"Public and Indian Housing",'PRODUCTS AND SERVICES'!$F$4:$F$238,$B58&amp;"*")</f>
        <v>0</v>
      </c>
      <c r="R58" s="48">
        <f>COUNTIFS('PRODUCTS AND SERVICES'!$A$4:$A$238,"Secretary",'PRODUCTS AND SERVICES'!$F$4:$F$238,$B58&amp;"*")</f>
        <v>0</v>
      </c>
      <c r="S58" s="49">
        <f t="shared" si="0"/>
        <v>3</v>
      </c>
      <c r="T58" s="50">
        <f t="shared" si="5"/>
        <v>1.282051282051282E-2</v>
      </c>
    </row>
    <row r="59" spans="1:20" x14ac:dyDescent="0.3">
      <c r="A59" s="143" t="s">
        <v>205</v>
      </c>
      <c r="B59" s="143"/>
      <c r="C59" s="67">
        <f t="shared" ref="C59:R59" si="6">SUM(C3:C58)</f>
        <v>16</v>
      </c>
      <c r="D59" s="67">
        <f t="shared" si="6"/>
        <v>2</v>
      </c>
      <c r="E59" s="67">
        <f t="shared" si="6"/>
        <v>14</v>
      </c>
      <c r="F59" s="67">
        <f t="shared" si="6"/>
        <v>18</v>
      </c>
      <c r="G59" s="67">
        <f t="shared" si="6"/>
        <v>4</v>
      </c>
      <c r="H59" s="67">
        <f t="shared" si="6"/>
        <v>2</v>
      </c>
      <c r="I59" s="67">
        <f t="shared" si="6"/>
        <v>1</v>
      </c>
      <c r="J59" s="67">
        <f t="shared" si="6"/>
        <v>7</v>
      </c>
      <c r="K59" s="67">
        <f t="shared" si="6"/>
        <v>4</v>
      </c>
      <c r="L59" s="67">
        <f t="shared" si="6"/>
        <v>0</v>
      </c>
      <c r="M59" s="67">
        <f t="shared" si="6"/>
        <v>29</v>
      </c>
      <c r="N59" s="67">
        <f t="shared" si="6"/>
        <v>67</v>
      </c>
      <c r="O59" s="67">
        <f t="shared" si="6"/>
        <v>1</v>
      </c>
      <c r="P59" s="67">
        <f t="shared" si="6"/>
        <v>41</v>
      </c>
      <c r="Q59" s="67">
        <f t="shared" si="6"/>
        <v>27</v>
      </c>
      <c r="R59" s="67">
        <f t="shared" si="6"/>
        <v>1</v>
      </c>
      <c r="S59" s="68">
        <f>SUM(B59:R59)</f>
        <v>234</v>
      </c>
      <c r="T59" s="69">
        <f>SUM(T3:T58)</f>
        <v>0.99999999999999956</v>
      </c>
    </row>
    <row r="60" spans="1:20" x14ac:dyDescent="0.3">
      <c r="A60" s="75" t="s">
        <v>186</v>
      </c>
      <c r="S60" s="40"/>
    </row>
    <row r="62" spans="1:20" x14ac:dyDescent="0.3">
      <c r="A62" s="11"/>
      <c r="B62" s="11"/>
      <c r="C62" s="11"/>
      <c r="D62" s="11"/>
    </row>
    <row r="63" spans="1:20" x14ac:dyDescent="0.3">
      <c r="A63" s="7"/>
    </row>
  </sheetData>
  <sheetProtection algorithmName="SHA-512" hashValue="66aCch/Z0f09hpkFgPFfvmPNlESpuVxKd3CvWH/pjfWW7ajsabSGsH5gtFRPc287zvgv59w4RT/rJysIxJU8hA==" saltValue="8nW8MwRlxb5loklVYauv+Q==" spinCount="100000" sheet="1" objects="1" scenarios="1"/>
  <mergeCells count="2">
    <mergeCell ref="A1:T1"/>
    <mergeCell ref="A59:B59"/>
  </mergeCells>
  <pageMargins left="0.25" right="0.25" top="0.25" bottom="0.3" header="0.15" footer="0.15"/>
  <pageSetup scale="50"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F17"/>
  <sheetViews>
    <sheetView workbookViewId="0">
      <selection sqref="A1:F1"/>
    </sheetView>
  </sheetViews>
  <sheetFormatPr defaultRowHeight="14.4" x14ac:dyDescent="0.3"/>
  <cols>
    <col min="1" max="1" width="15.44140625" customWidth="1"/>
    <col min="2" max="2" width="17.6640625" customWidth="1"/>
    <col min="3" max="3" width="16.44140625" bestFit="1" customWidth="1"/>
    <col min="4" max="4" width="15.5546875" customWidth="1"/>
    <col min="5" max="5" width="13.33203125" customWidth="1"/>
    <col min="6" max="6" width="12.44140625" customWidth="1"/>
  </cols>
  <sheetData>
    <row r="1" spans="1:6" ht="18" customHeight="1" thickBot="1" x14ac:dyDescent="0.35">
      <c r="A1" s="121" t="s">
        <v>31</v>
      </c>
      <c r="B1" s="122"/>
      <c r="C1" s="122"/>
      <c r="D1" s="122"/>
      <c r="E1" s="122"/>
      <c r="F1" s="123"/>
    </row>
    <row r="2" spans="1:6" ht="15" thickBot="1" x14ac:dyDescent="0.35">
      <c r="A2" s="150" t="s">
        <v>249</v>
      </c>
      <c r="B2" s="150" t="s">
        <v>250</v>
      </c>
      <c r="C2" s="151" t="s">
        <v>251</v>
      </c>
      <c r="D2" s="153" t="s">
        <v>137</v>
      </c>
      <c r="E2" s="155" t="s">
        <v>252</v>
      </c>
      <c r="F2" s="148" t="s">
        <v>253</v>
      </c>
    </row>
    <row r="3" spans="1:6" ht="15" thickBot="1" x14ac:dyDescent="0.35">
      <c r="A3" s="150"/>
      <c r="B3" s="150"/>
      <c r="C3" s="152"/>
      <c r="D3" s="154"/>
      <c r="E3" s="156"/>
      <c r="F3" s="149"/>
    </row>
    <row r="4" spans="1:6" ht="15" thickBot="1" x14ac:dyDescent="0.35">
      <c r="A4" s="52" t="s">
        <v>137</v>
      </c>
      <c r="B4" s="91">
        <f>COUNTIF('PRODUCTS AND SERVICES'!$G$4:$G$238,"Full and Open*")</f>
        <v>74</v>
      </c>
      <c r="C4" s="53">
        <f>B4/$B$12</f>
        <v>0.31623931623931623</v>
      </c>
      <c r="D4" s="91">
        <f>COUNTIF('PRODUCTS AND SERVICES'!$G$4:$G$238,"Full and Open*")</f>
        <v>74</v>
      </c>
      <c r="E4" s="54"/>
      <c r="F4" s="54"/>
    </row>
    <row r="5" spans="1:6" ht="15" thickBot="1" x14ac:dyDescent="0.35">
      <c r="A5" s="52" t="s">
        <v>129</v>
      </c>
      <c r="B5" s="91">
        <f>COUNTIF('PRODUCTS AND SERVICES'!$G$4:$G$238,"AbilityOne*")</f>
        <v>2</v>
      </c>
      <c r="C5" s="53">
        <f>B5/$B$12</f>
        <v>8.5470085470085479E-3</v>
      </c>
      <c r="D5" s="91">
        <f>COUNTIF('PRODUCTS AND SERVICES'!$G$4:$G$238,"AbilityOne*")</f>
        <v>2</v>
      </c>
      <c r="E5" s="54"/>
      <c r="F5" s="54"/>
    </row>
    <row r="6" spans="1:6" ht="15" thickBot="1" x14ac:dyDescent="0.35">
      <c r="A6" s="52" t="s">
        <v>163</v>
      </c>
      <c r="B6" s="91">
        <f>COUNTIF('PRODUCTS AND SERVICES'!G$4:$G$238,"TBD*")</f>
        <v>4</v>
      </c>
      <c r="C6" s="53">
        <f t="shared" ref="C6:C11" si="0">B6/$B$12</f>
        <v>1.7094017094017096E-2</v>
      </c>
      <c r="D6" s="91">
        <f>COUNTIF('PRODUCTS AND SERVICES'!$G$4:H$238,"TBD")</f>
        <v>4</v>
      </c>
      <c r="E6" s="54"/>
      <c r="F6" s="54"/>
    </row>
    <row r="7" spans="1:6" ht="28.8" thickBot="1" x14ac:dyDescent="0.35">
      <c r="A7" s="55" t="s">
        <v>254</v>
      </c>
      <c r="B7" s="91">
        <f>COUNTIF('PRODUCTS AND SERVICES'!G$4:$G$238,"Total Small Business")</f>
        <v>86</v>
      </c>
      <c r="C7" s="53">
        <f t="shared" si="0"/>
        <v>0.36752136752136755</v>
      </c>
      <c r="D7" s="54"/>
      <c r="E7" s="91">
        <f>COUNTIF('PRODUCTS AND SERVICES'!G$4:$G$238,"Total Small Business")</f>
        <v>86</v>
      </c>
      <c r="F7" s="53">
        <f>E7/$E$12</f>
        <v>0.55844155844155841</v>
      </c>
    </row>
    <row r="8" spans="1:6" ht="15" thickBot="1" x14ac:dyDescent="0.35">
      <c r="A8" s="52" t="s">
        <v>143</v>
      </c>
      <c r="B8" s="91">
        <f>COUNTIF('PRODUCTS AND SERVICES'!G$4:$G$238,"Sole Source 8(A)")</f>
        <v>51</v>
      </c>
      <c r="C8" s="53">
        <f t="shared" si="0"/>
        <v>0.21794871794871795</v>
      </c>
      <c r="D8" s="54"/>
      <c r="E8" s="91">
        <f>COUNTIF('PRODUCTS AND SERVICES'!$G$4:H$238,"Sole Source 8(A)")</f>
        <v>51</v>
      </c>
      <c r="F8" s="53">
        <f t="shared" ref="F8:F11" si="1">E8/$E$12</f>
        <v>0.33116883116883117</v>
      </c>
    </row>
    <row r="9" spans="1:6" ht="15" thickBot="1" x14ac:dyDescent="0.35">
      <c r="A9" s="52" t="s">
        <v>150</v>
      </c>
      <c r="B9" s="91">
        <f>COUNTIF('PRODUCTS AND SERVICES'!G$4:$G$238,"Competitive 8(A)")</f>
        <v>15</v>
      </c>
      <c r="C9" s="53">
        <f t="shared" si="0"/>
        <v>6.4102564102564097E-2</v>
      </c>
      <c r="D9" s="54"/>
      <c r="E9" s="91">
        <f>COUNTIF('PRODUCTS AND SERVICES'!$G$4:H$238,"Competitive 8(A)")</f>
        <v>15</v>
      </c>
      <c r="F9" s="53">
        <f t="shared" si="1"/>
        <v>9.7402597402597407E-2</v>
      </c>
    </row>
    <row r="10" spans="1:6" ht="15" thickBot="1" x14ac:dyDescent="0.35">
      <c r="A10" s="52" t="s">
        <v>181</v>
      </c>
      <c r="B10" s="91">
        <f>COUNTIF('PRODUCTS AND SERVICES'!G$4:$G$238,"HUBZone")</f>
        <v>1</v>
      </c>
      <c r="C10" s="53">
        <f t="shared" si="0"/>
        <v>4.2735042735042739E-3</v>
      </c>
      <c r="D10" s="54"/>
      <c r="E10" s="91">
        <f>COUNTIF('PRODUCTS AND SERVICES'!$G$4:H$238,"HUBZone*")</f>
        <v>1</v>
      </c>
      <c r="F10" s="53">
        <f t="shared" si="1"/>
        <v>6.4935064935064939E-3</v>
      </c>
    </row>
    <row r="11" spans="1:6" ht="15" thickBot="1" x14ac:dyDescent="0.35">
      <c r="A11" s="52" t="s">
        <v>268</v>
      </c>
      <c r="B11" s="91">
        <f>COUNTIF('PRODUCTS AND SERVICES'!G$4:$G$238,"WOSB")</f>
        <v>1</v>
      </c>
      <c r="C11" s="53">
        <f t="shared" si="0"/>
        <v>4.2735042735042739E-3</v>
      </c>
      <c r="D11" s="54"/>
      <c r="E11" s="91">
        <f>COUNTIF('PRODUCTS AND SERVICES'!$G$4:H$238,"WOSB")</f>
        <v>1</v>
      </c>
      <c r="F11" s="53">
        <f t="shared" si="1"/>
        <v>6.4935064935064939E-3</v>
      </c>
    </row>
    <row r="12" spans="1:6" ht="15" thickBot="1" x14ac:dyDescent="0.35">
      <c r="A12" s="56" t="s">
        <v>255</v>
      </c>
      <c r="B12" s="91">
        <f>SUM(B4:B11)</f>
        <v>234</v>
      </c>
      <c r="C12" s="144">
        <f>SUM(C4:C11)</f>
        <v>1</v>
      </c>
      <c r="D12" s="91">
        <f>SUM(D4:D6)</f>
        <v>80</v>
      </c>
      <c r="E12" s="91">
        <f>SUM(E7:E11)</f>
        <v>154</v>
      </c>
      <c r="F12" s="146"/>
    </row>
    <row r="13" spans="1:6" ht="15" thickBot="1" x14ac:dyDescent="0.35">
      <c r="A13" s="57"/>
      <c r="B13" s="57"/>
      <c r="C13" s="145"/>
      <c r="D13" s="58">
        <f>D12/B12</f>
        <v>0.34188034188034189</v>
      </c>
      <c r="E13" s="53">
        <f>E12/B12</f>
        <v>0.65811965811965811</v>
      </c>
      <c r="F13" s="147"/>
    </row>
    <row r="15" spans="1:6" x14ac:dyDescent="0.3">
      <c r="A15" s="75" t="s">
        <v>186</v>
      </c>
    </row>
    <row r="16" spans="1:6" x14ac:dyDescent="0.3">
      <c r="A16" s="8"/>
      <c r="B16" s="8"/>
      <c r="C16" s="8"/>
      <c r="D16" s="8"/>
    </row>
    <row r="17" spans="1:1" x14ac:dyDescent="0.3">
      <c r="A17" s="7"/>
    </row>
  </sheetData>
  <sheetProtection algorithmName="SHA-512" hashValue="b2/Lk0R9JFbpMjQIBe7VN5tsjedoccmHpAyOgkyTCaKeEarwYb4eKdzNvNu0TQPcONvO27FM5IDWOt9FhdZGZQ==" saltValue="UnPCK9S/lqN7/lA6v7TLJA==" spinCount="100000" sheet="1" objects="1" scenarios="1"/>
  <mergeCells count="9">
    <mergeCell ref="A1:F1"/>
    <mergeCell ref="C12:C13"/>
    <mergeCell ref="F12:F13"/>
    <mergeCell ref="F2:F3"/>
    <mergeCell ref="A2:A3"/>
    <mergeCell ref="B2:B3"/>
    <mergeCell ref="C2:C3"/>
    <mergeCell ref="D2:D3"/>
    <mergeCell ref="E2:E3"/>
  </mergeCells>
  <pageMargins left="0.25" right="0.25" top="0.25" bottom="0.3" header="0.15" footer="0.15"/>
  <pageSetup orientation="landscape" r:id="rId1"/>
  <ignoredErrors>
    <ignoredError sqref="C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B0D3F-D197-488D-A948-BD7A355F5439}">
  <sheetPr codeName="Sheet2"/>
  <dimension ref="A1"/>
  <sheetViews>
    <sheetView workbookViewId="0"/>
  </sheetViews>
  <sheetFormatPr defaultRowHeight="14.4" x14ac:dyDescent="0.3"/>
  <cols>
    <col min="1" max="1" width="129" style="9" customWidth="1"/>
  </cols>
  <sheetData>
    <row r="1" spans="1:1" ht="380.25" customHeight="1" x14ac:dyDescent="0.3">
      <c r="A1" s="21" t="s">
        <v>6</v>
      </c>
    </row>
  </sheetData>
  <pageMargins left="0.25" right="0.25" top="0.25" bottom="0.3" header="0.15" footer="0.15"/>
  <pageSetup orientation="landscape" r:id="rId1"/>
  <headerFooter>
    <oddFooter>&amp;Cii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85162-A72A-4495-B976-CF8EC876D46D}">
  <sheetPr codeName="Sheet3"/>
  <dimension ref="A1:O29"/>
  <sheetViews>
    <sheetView workbookViewId="0">
      <selection activeCell="O20" sqref="O20"/>
    </sheetView>
  </sheetViews>
  <sheetFormatPr defaultColWidth="8.6640625" defaultRowHeight="15.6" x14ac:dyDescent="0.3"/>
  <cols>
    <col min="1" max="14" width="8.6640625" style="31"/>
    <col min="15" max="15" width="9.33203125" style="31" bestFit="1" customWidth="1"/>
    <col min="16" max="16384" width="8.6640625" style="31"/>
  </cols>
  <sheetData>
    <row r="1" spans="1:15" ht="21" customHeight="1" thickBot="1" x14ac:dyDescent="0.35">
      <c r="A1" s="115" t="s">
        <v>7</v>
      </c>
      <c r="B1" s="116"/>
      <c r="C1" s="116"/>
      <c r="D1" s="116"/>
      <c r="E1" s="116"/>
      <c r="F1" s="116"/>
      <c r="G1" s="116"/>
      <c r="H1" s="116"/>
      <c r="I1" s="116"/>
      <c r="J1" s="116"/>
      <c r="K1" s="116"/>
      <c r="L1" s="116"/>
      <c r="M1" s="116"/>
      <c r="N1" s="116"/>
      <c r="O1" s="117"/>
    </row>
    <row r="3" spans="1:15" x14ac:dyDescent="0.3">
      <c r="A3" s="113" t="s">
        <v>8</v>
      </c>
      <c r="B3" s="113"/>
      <c r="C3" s="113"/>
      <c r="D3" s="113"/>
      <c r="E3" s="113"/>
      <c r="F3" s="113"/>
      <c r="G3" s="113"/>
      <c r="H3" s="113"/>
      <c r="I3" s="113"/>
      <c r="J3" s="113"/>
      <c r="K3" s="113"/>
      <c r="L3" s="113"/>
      <c r="M3" s="113"/>
      <c r="N3" s="113"/>
      <c r="O3" s="113"/>
    </row>
    <row r="4" spans="1:15" ht="19.5" customHeight="1" x14ac:dyDescent="0.3">
      <c r="A4" s="118" t="s">
        <v>9</v>
      </c>
      <c r="B4" s="118"/>
      <c r="C4" s="118"/>
      <c r="D4" s="118"/>
      <c r="E4" s="118"/>
      <c r="F4" s="118"/>
      <c r="G4" s="118"/>
      <c r="H4" s="118"/>
      <c r="I4" s="118"/>
      <c r="J4" s="118"/>
      <c r="K4" s="118"/>
      <c r="L4" s="118"/>
      <c r="M4" s="118"/>
      <c r="N4" s="118"/>
      <c r="O4" s="36" t="s">
        <v>10</v>
      </c>
    </row>
    <row r="5" spans="1:15" ht="19.5" customHeight="1" x14ac:dyDescent="0.3">
      <c r="A5" s="114" t="s">
        <v>11</v>
      </c>
      <c r="B5" s="114"/>
      <c r="C5" s="114"/>
      <c r="D5" s="114"/>
      <c r="E5" s="114"/>
      <c r="F5" s="114"/>
      <c r="G5" s="114"/>
      <c r="H5" s="114"/>
      <c r="I5" s="114"/>
      <c r="J5" s="114"/>
      <c r="K5" s="114"/>
      <c r="L5" s="114"/>
      <c r="M5" s="114"/>
      <c r="N5" s="114"/>
      <c r="O5" s="36" t="s">
        <v>12</v>
      </c>
    </row>
    <row r="7" spans="1:15" x14ac:dyDescent="0.3">
      <c r="A7" s="113" t="s">
        <v>13</v>
      </c>
      <c r="B7" s="113"/>
      <c r="C7" s="113"/>
      <c r="D7" s="113"/>
      <c r="E7" s="113"/>
      <c r="F7" s="113"/>
      <c r="G7" s="113"/>
      <c r="H7" s="113"/>
      <c r="I7" s="113"/>
      <c r="J7" s="113"/>
      <c r="K7" s="113"/>
      <c r="L7" s="113"/>
      <c r="M7" s="113"/>
      <c r="N7" s="113"/>
      <c r="O7" s="113"/>
    </row>
    <row r="8" spans="1:15" ht="19.5" customHeight="1" x14ac:dyDescent="0.3">
      <c r="A8" s="114" t="s">
        <v>14</v>
      </c>
      <c r="B8" s="114"/>
      <c r="C8" s="114"/>
      <c r="D8" s="114"/>
      <c r="E8" s="114"/>
      <c r="F8" s="114"/>
      <c r="G8" s="114"/>
      <c r="H8" s="114"/>
      <c r="I8" s="114"/>
      <c r="J8" s="114"/>
      <c r="K8" s="114"/>
      <c r="L8" s="114"/>
      <c r="M8" s="114"/>
      <c r="N8" s="114"/>
      <c r="O8" s="36" t="s">
        <v>15</v>
      </c>
    </row>
    <row r="10" spans="1:15" x14ac:dyDescent="0.3">
      <c r="A10" s="113" t="s">
        <v>16</v>
      </c>
      <c r="B10" s="113"/>
      <c r="C10" s="113"/>
      <c r="D10" s="113"/>
      <c r="E10" s="113"/>
      <c r="F10" s="113"/>
      <c r="G10" s="113"/>
      <c r="H10" s="113"/>
      <c r="I10" s="113"/>
      <c r="J10" s="113"/>
      <c r="K10" s="113"/>
      <c r="L10" s="113"/>
      <c r="M10" s="113"/>
      <c r="N10" s="113"/>
      <c r="O10" s="113"/>
    </row>
    <row r="11" spans="1:15" ht="19.5" customHeight="1" x14ac:dyDescent="0.3">
      <c r="A11" s="114" t="s">
        <v>17</v>
      </c>
      <c r="B11" s="114"/>
      <c r="C11" s="114"/>
      <c r="D11" s="114"/>
      <c r="E11" s="114"/>
      <c r="F11" s="114"/>
      <c r="G11" s="114"/>
      <c r="H11" s="114"/>
      <c r="I11" s="114"/>
      <c r="J11" s="114"/>
      <c r="K11" s="114"/>
      <c r="L11" s="114"/>
      <c r="M11" s="114"/>
      <c r="N11" s="114"/>
      <c r="O11" s="36" t="s">
        <v>18</v>
      </c>
    </row>
    <row r="13" spans="1:15" x14ac:dyDescent="0.3">
      <c r="A13" s="113" t="s">
        <v>19</v>
      </c>
      <c r="B13" s="113"/>
      <c r="C13" s="113"/>
      <c r="D13" s="113"/>
      <c r="E13" s="113"/>
      <c r="F13" s="113"/>
      <c r="G13" s="113"/>
      <c r="H13" s="113"/>
      <c r="I13" s="113"/>
      <c r="J13" s="113"/>
      <c r="K13" s="113"/>
      <c r="L13" s="113"/>
      <c r="M13" s="113"/>
      <c r="N13" s="113"/>
      <c r="O13" s="113"/>
    </row>
    <row r="14" spans="1:15" ht="19.5" customHeight="1" x14ac:dyDescent="0.3">
      <c r="A14" s="114" t="s">
        <v>20</v>
      </c>
      <c r="B14" s="114"/>
      <c r="C14" s="114"/>
      <c r="D14" s="114"/>
      <c r="E14" s="114"/>
      <c r="F14" s="114"/>
      <c r="G14" s="114"/>
      <c r="H14" s="114"/>
      <c r="I14" s="114"/>
      <c r="J14" s="114"/>
      <c r="K14" s="114"/>
      <c r="L14" s="114"/>
      <c r="M14" s="114"/>
      <c r="N14" s="114"/>
      <c r="O14" s="36" t="s">
        <v>21</v>
      </c>
    </row>
    <row r="16" spans="1:15" x14ac:dyDescent="0.3">
      <c r="A16" s="113" t="s">
        <v>22</v>
      </c>
      <c r="B16" s="113"/>
      <c r="C16" s="113"/>
      <c r="D16" s="113"/>
      <c r="E16" s="113"/>
      <c r="F16" s="113"/>
      <c r="G16" s="113"/>
      <c r="H16" s="113"/>
      <c r="I16" s="113"/>
      <c r="J16" s="113"/>
      <c r="K16" s="113"/>
      <c r="L16" s="113"/>
      <c r="M16" s="113"/>
      <c r="N16" s="113"/>
      <c r="O16" s="113"/>
    </row>
    <row r="17" spans="1:15" ht="19.5" customHeight="1" x14ac:dyDescent="0.3">
      <c r="A17" s="114" t="s">
        <v>23</v>
      </c>
      <c r="B17" s="114"/>
      <c r="C17" s="114"/>
      <c r="D17" s="114"/>
      <c r="E17" s="114"/>
      <c r="F17" s="114"/>
      <c r="G17" s="114"/>
      <c r="H17" s="114"/>
      <c r="I17" s="114"/>
      <c r="J17" s="114"/>
      <c r="K17" s="114"/>
      <c r="L17" s="114"/>
      <c r="M17" s="114"/>
      <c r="N17" s="114"/>
      <c r="O17" s="31" t="s">
        <v>24</v>
      </c>
    </row>
    <row r="18" spans="1:15" x14ac:dyDescent="0.3">
      <c r="A18" s="114"/>
      <c r="B18" s="114"/>
      <c r="C18" s="114"/>
      <c r="D18" s="114"/>
      <c r="E18" s="114"/>
      <c r="F18" s="114"/>
      <c r="G18" s="114"/>
      <c r="H18" s="114"/>
      <c r="I18" s="114"/>
      <c r="J18" s="114"/>
      <c r="K18" s="114"/>
      <c r="L18" s="114"/>
      <c r="M18" s="114"/>
      <c r="N18" s="114"/>
    </row>
    <row r="19" spans="1:15" x14ac:dyDescent="0.3">
      <c r="A19" s="113" t="s">
        <v>25</v>
      </c>
      <c r="B19" s="113"/>
      <c r="C19" s="113"/>
      <c r="D19" s="113"/>
      <c r="E19" s="113"/>
      <c r="F19" s="113"/>
      <c r="G19" s="113"/>
      <c r="H19" s="113"/>
      <c r="I19" s="113"/>
      <c r="J19" s="113"/>
      <c r="K19" s="113"/>
      <c r="L19" s="113"/>
      <c r="M19" s="113"/>
      <c r="N19" s="113"/>
      <c r="O19" s="113"/>
    </row>
    <row r="20" spans="1:15" ht="19.5" customHeight="1" x14ac:dyDescent="0.3">
      <c r="A20" s="114" t="s">
        <v>26</v>
      </c>
      <c r="B20" s="114"/>
      <c r="C20" s="114"/>
      <c r="D20" s="114"/>
      <c r="E20" s="114"/>
      <c r="F20" s="114"/>
      <c r="G20" s="114"/>
      <c r="H20" s="114"/>
      <c r="I20" s="114"/>
      <c r="J20" s="114"/>
      <c r="K20" s="114"/>
      <c r="L20" s="114"/>
      <c r="M20" s="114"/>
      <c r="N20" s="114"/>
      <c r="O20" s="37" t="s">
        <v>893</v>
      </c>
    </row>
    <row r="22" spans="1:15" x14ac:dyDescent="0.3">
      <c r="A22" s="113" t="s">
        <v>27</v>
      </c>
      <c r="B22" s="113"/>
      <c r="C22" s="113"/>
      <c r="D22" s="113"/>
      <c r="E22" s="113"/>
      <c r="F22" s="113"/>
      <c r="G22" s="113"/>
      <c r="H22" s="113"/>
      <c r="I22" s="113"/>
      <c r="J22" s="113"/>
      <c r="K22" s="113"/>
      <c r="L22" s="113"/>
      <c r="M22" s="113"/>
      <c r="N22" s="113"/>
      <c r="O22" s="113"/>
    </row>
    <row r="23" spans="1:15" x14ac:dyDescent="0.3">
      <c r="A23" s="119" t="s">
        <v>28</v>
      </c>
      <c r="B23" s="119"/>
      <c r="C23" s="119"/>
      <c r="D23" s="119"/>
      <c r="E23" s="119"/>
      <c r="F23" s="119"/>
      <c r="G23" s="119"/>
      <c r="H23" s="119"/>
      <c r="I23" s="119"/>
      <c r="J23" s="119"/>
      <c r="K23" s="119"/>
      <c r="L23" s="119"/>
      <c r="M23" s="119"/>
      <c r="N23" s="119"/>
    </row>
    <row r="25" spans="1:15" x14ac:dyDescent="0.3">
      <c r="A25" s="113" t="s">
        <v>29</v>
      </c>
      <c r="B25" s="113"/>
      <c r="C25" s="113"/>
      <c r="D25" s="113"/>
      <c r="E25" s="113"/>
      <c r="F25" s="113"/>
      <c r="G25" s="113"/>
      <c r="H25" s="113"/>
      <c r="I25" s="113"/>
      <c r="J25" s="113"/>
      <c r="K25" s="113"/>
      <c r="L25" s="113"/>
      <c r="M25" s="113"/>
      <c r="N25" s="113"/>
      <c r="O25" s="113"/>
    </row>
    <row r="26" spans="1:15" x14ac:dyDescent="0.3">
      <c r="A26" s="114" t="s">
        <v>30</v>
      </c>
      <c r="B26" s="114"/>
      <c r="C26" s="114"/>
      <c r="D26" s="114"/>
      <c r="E26" s="114"/>
      <c r="F26" s="114"/>
      <c r="G26" s="114"/>
      <c r="H26" s="114"/>
      <c r="I26" s="114"/>
      <c r="J26" s="114"/>
      <c r="K26" s="114"/>
      <c r="L26" s="114"/>
      <c r="M26" s="114"/>
      <c r="N26" s="114"/>
    </row>
    <row r="28" spans="1:15" x14ac:dyDescent="0.3">
      <c r="A28" s="113" t="s">
        <v>31</v>
      </c>
      <c r="B28" s="113"/>
      <c r="C28" s="113"/>
      <c r="D28" s="113"/>
      <c r="E28" s="113"/>
      <c r="F28" s="113"/>
      <c r="G28" s="113"/>
      <c r="H28" s="113"/>
      <c r="I28" s="113"/>
      <c r="J28" s="113"/>
      <c r="K28" s="113"/>
      <c r="L28" s="113"/>
      <c r="M28" s="113"/>
      <c r="N28" s="113"/>
      <c r="O28" s="113"/>
    </row>
    <row r="29" spans="1:15" x14ac:dyDescent="0.3">
      <c r="A29" s="114" t="s">
        <v>32</v>
      </c>
      <c r="B29" s="114"/>
      <c r="C29" s="114"/>
      <c r="D29" s="114"/>
      <c r="E29" s="114"/>
      <c r="F29" s="114"/>
      <c r="G29" s="114"/>
      <c r="H29" s="114"/>
      <c r="I29" s="114"/>
      <c r="J29" s="114"/>
      <c r="K29" s="114"/>
      <c r="L29" s="114"/>
      <c r="M29" s="114"/>
      <c r="N29" s="114"/>
    </row>
  </sheetData>
  <mergeCells count="21">
    <mergeCell ref="A29:N29"/>
    <mergeCell ref="A22:O22"/>
    <mergeCell ref="A25:O25"/>
    <mergeCell ref="A28:O28"/>
    <mergeCell ref="A23:N23"/>
    <mergeCell ref="A26:N26"/>
    <mergeCell ref="A8:N8"/>
    <mergeCell ref="A1:O1"/>
    <mergeCell ref="A3:O3"/>
    <mergeCell ref="A4:N4"/>
    <mergeCell ref="A5:N5"/>
    <mergeCell ref="A7:O7"/>
    <mergeCell ref="A19:O19"/>
    <mergeCell ref="A20:N20"/>
    <mergeCell ref="A10:O10"/>
    <mergeCell ref="A11:N11"/>
    <mergeCell ref="A13:O13"/>
    <mergeCell ref="A14:N14"/>
    <mergeCell ref="A16:O16"/>
    <mergeCell ref="A17:N17"/>
    <mergeCell ref="A18:N18"/>
  </mergeCells>
  <hyperlinks>
    <hyperlink ref="A17" location="GLOSSARY!A1" display="Glossary of Terms and Acronyms_____________________________________________________________________________________x" xr:uid="{B78C5906-8D31-4733-98E2-8B216AE999EA}"/>
    <hyperlink ref="A20" location="'PRODUCTS AND SERVICES'!A1" display="Products and Services_____________________________________________________________________________________________1-x" xr:uid="{855533F7-5DD6-4D14-86EB-DAE405300E86}"/>
    <hyperlink ref="A4:N4" location="'INTRODUCTION-OSDBU MISSION'!A1" display="Introduction, Message to Small Businesses &amp; OSDBU Mission Statement" xr:uid="{DC075EC4-D4B5-44FB-9928-2834646A1594}"/>
    <hyperlink ref="A5:N5" location="'OSDBU STAFF'!A1" display="OSDBU Staff &amp; Filed Office Small Business Liasions" xr:uid="{8B934909-A284-4F18-9776-9A99A040D2A3}"/>
    <hyperlink ref="A8:N8" location="'HOW TO MARKET TO HUD'!A1" display="How to Market to HUD" xr:uid="{BC708A00-4DA0-43EB-BF0E-140C66BE3276}"/>
    <hyperlink ref="A11:N11" location="'FORECAST OVERVIEW'!A1" display="Forecast Overview" xr:uid="{30E0DCE1-C977-4E49-AEFE-3A8971B5D5F9}"/>
    <hyperlink ref="A14:N14" location="'FORECAST CATEGORIES'!A1" display="Description of Forecast Categories" xr:uid="{315CBFD9-57D7-4BFD-9CD6-D4190D064AE1}"/>
    <hyperlink ref="A23" location="'ACQUISITION BY THRESHOLDS'!A1" display="'ACQUISITION BY THRESHOLDS'!A1" xr:uid="{37716798-7DC4-4E4C-9980-D3754CF1912E}"/>
    <hyperlink ref="A26" location="'ACQUISITION BY NAICS CODE'!A1" display="ACQUISITION BY NAICS CODE" xr:uid="{98FCB23A-9D69-4C70-A042-0C7C75180046}"/>
    <hyperlink ref="A29" location="'ACQUISITION BY TYPE'!A1" display="ACQUISITION BY PROPOSED TYPE OF ACTION" xr:uid="{AA21668B-D03D-4680-B120-05FAE6A6340C}"/>
    <hyperlink ref="A23:N23" location="'ACQUISITION BY THRESHOLDS'!A1" display="Acquisition by dollar threshold" xr:uid="{C999BA15-A4C4-43F9-BE68-D7E8B212435E}"/>
    <hyperlink ref="A26:N26" location="'ACQUISITION BY NAICS CODE'!A1" display="Acquisition by NAICS code" xr:uid="{33FCD439-AE4F-4094-A09B-51675CD6DD8F}"/>
    <hyperlink ref="A20:N20" location="'PRODUCTS AND SERVICES'!A4" display="Products and Services" xr:uid="{60A024C6-16C7-4DFB-9154-14598F23CB81}"/>
  </hyperlinks>
  <pageMargins left="0.25" right="0.25" top="0.25" bottom="0.3" header="0.15" footer="0.15"/>
  <pageSetup orientation="landscape" r:id="rId1"/>
  <headerFooter>
    <oddFooter>&amp;Ciii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0FB94-BF3A-467B-A0F2-54FBD9820C8A}">
  <sheetPr codeName="Sheet4"/>
  <dimension ref="A1:L2"/>
  <sheetViews>
    <sheetView workbookViewId="0">
      <selection activeCell="A2" sqref="A2"/>
    </sheetView>
  </sheetViews>
  <sheetFormatPr defaultRowHeight="14.4" x14ac:dyDescent="0.3"/>
  <cols>
    <col min="1" max="1" width="130.5546875" style="7" customWidth="1"/>
  </cols>
  <sheetData>
    <row r="1" spans="1:12" ht="21" thickBot="1" x14ac:dyDescent="0.35">
      <c r="A1" s="16" t="s">
        <v>33</v>
      </c>
      <c r="B1" s="15"/>
      <c r="C1" s="15"/>
      <c r="D1" s="15"/>
      <c r="E1" s="15"/>
      <c r="F1" s="15"/>
      <c r="G1" s="15"/>
      <c r="H1" s="15"/>
      <c r="I1" s="15"/>
      <c r="J1" s="15"/>
      <c r="K1" s="15"/>
      <c r="L1" s="15"/>
    </row>
    <row r="2" spans="1:12" ht="396" customHeight="1" x14ac:dyDescent="0.3">
      <c r="A2" s="86" t="s">
        <v>274</v>
      </c>
    </row>
  </sheetData>
  <pageMargins left="0.25" right="0.25" top="0.25" bottom="0.3" header="0.15" footer="0.15"/>
  <pageSetup orientation="landscape" r:id="rId1"/>
  <headerFooter>
    <oddFooter>&amp;Civ</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C96F8-14F9-4B15-8901-0285BE043271}">
  <sheetPr codeName="Sheet5"/>
  <dimension ref="A1:R36"/>
  <sheetViews>
    <sheetView workbookViewId="0">
      <selection sqref="A1:O1"/>
    </sheetView>
  </sheetViews>
  <sheetFormatPr defaultColWidth="8.6640625" defaultRowHeight="13.8" x14ac:dyDescent="0.25"/>
  <cols>
    <col min="1" max="16384" width="8.6640625" style="12"/>
  </cols>
  <sheetData>
    <row r="1" spans="1:18" ht="21" thickBot="1" x14ac:dyDescent="0.3">
      <c r="A1" s="121" t="s">
        <v>34</v>
      </c>
      <c r="B1" s="122"/>
      <c r="C1" s="122"/>
      <c r="D1" s="122"/>
      <c r="E1" s="122"/>
      <c r="F1" s="122"/>
      <c r="G1" s="122"/>
      <c r="H1" s="122"/>
      <c r="I1" s="122"/>
      <c r="J1" s="122"/>
      <c r="K1" s="122"/>
      <c r="L1" s="122"/>
      <c r="M1" s="122"/>
      <c r="N1" s="122"/>
      <c r="O1" s="123"/>
    </row>
    <row r="2" spans="1:18" ht="51.6" customHeight="1" x14ac:dyDescent="0.25">
      <c r="A2" s="124" t="s">
        <v>35</v>
      </c>
      <c r="B2" s="124"/>
      <c r="C2" s="124"/>
      <c r="D2" s="124"/>
      <c r="E2" s="124"/>
      <c r="F2" s="124"/>
      <c r="G2" s="124"/>
      <c r="H2" s="124"/>
      <c r="I2" s="124"/>
      <c r="J2" s="124"/>
      <c r="K2" s="124"/>
      <c r="L2" s="124"/>
      <c r="M2" s="124"/>
      <c r="N2" s="124"/>
      <c r="O2" s="124"/>
    </row>
    <row r="3" spans="1:18" ht="11.7" customHeight="1" x14ac:dyDescent="0.3">
      <c r="A3" s="22"/>
      <c r="B3" s="22"/>
      <c r="C3" s="22"/>
      <c r="D3" s="22"/>
      <c r="E3" s="22"/>
      <c r="F3" s="22"/>
      <c r="G3" s="22"/>
      <c r="H3" s="22"/>
      <c r="I3" s="22"/>
      <c r="J3" s="22"/>
      <c r="K3" s="22"/>
      <c r="L3" s="22"/>
      <c r="M3" s="22"/>
      <c r="N3" s="22"/>
      <c r="O3" s="22"/>
    </row>
    <row r="4" spans="1:18" ht="15.6" x14ac:dyDescent="0.25">
      <c r="A4" s="125" t="s">
        <v>36</v>
      </c>
      <c r="B4" s="125"/>
      <c r="C4" s="125"/>
      <c r="D4" s="125"/>
      <c r="E4" s="125"/>
      <c r="F4" s="125"/>
      <c r="G4" s="125"/>
      <c r="H4" s="125"/>
      <c r="I4" s="125"/>
      <c r="J4" s="125"/>
      <c r="K4" s="125"/>
      <c r="L4" s="125"/>
      <c r="M4" s="125"/>
      <c r="N4" s="125"/>
      <c r="O4" s="125"/>
    </row>
    <row r="5" spans="1:18" ht="15.6" x14ac:dyDescent="0.25">
      <c r="A5" s="111" t="s">
        <v>37</v>
      </c>
      <c r="B5" s="111"/>
      <c r="C5" s="111"/>
      <c r="D5" s="111"/>
      <c r="E5" s="111"/>
      <c r="F5" s="111"/>
      <c r="G5" s="111"/>
      <c r="H5" s="111"/>
      <c r="I5" s="111"/>
      <c r="J5" s="111"/>
      <c r="K5" s="111"/>
      <c r="L5" s="111"/>
      <c r="M5" s="111"/>
      <c r="N5" s="111"/>
      <c r="O5" s="111"/>
    </row>
    <row r="6" spans="1:18" ht="15.6" x14ac:dyDescent="0.25">
      <c r="A6" s="111" t="s">
        <v>38</v>
      </c>
      <c r="B6" s="111"/>
      <c r="C6" s="111"/>
      <c r="D6" s="111"/>
      <c r="E6" s="111"/>
      <c r="F6" s="111"/>
      <c r="G6" s="111"/>
      <c r="H6" s="111"/>
      <c r="I6" s="111"/>
      <c r="J6" s="111"/>
      <c r="K6" s="111"/>
      <c r="L6" s="111"/>
      <c r="M6" s="111"/>
      <c r="N6" s="111"/>
      <c r="O6" s="111"/>
    </row>
    <row r="7" spans="1:18" ht="11.1" customHeight="1" x14ac:dyDescent="0.3">
      <c r="A7" s="22"/>
      <c r="B7" s="22"/>
      <c r="C7" s="22"/>
      <c r="D7" s="23"/>
      <c r="E7" s="23"/>
      <c r="F7" s="23"/>
      <c r="G7" s="23"/>
      <c r="H7" s="23"/>
      <c r="I7" s="23"/>
      <c r="J7" s="23"/>
      <c r="K7" s="23"/>
      <c r="L7" s="23"/>
      <c r="M7" s="23"/>
      <c r="N7" s="22"/>
      <c r="O7" s="22"/>
    </row>
    <row r="8" spans="1:18" ht="15.6" x14ac:dyDescent="0.3">
      <c r="A8" s="22"/>
      <c r="B8" s="22"/>
      <c r="C8" s="22"/>
      <c r="D8" s="24" t="s">
        <v>259</v>
      </c>
      <c r="E8" s="23"/>
      <c r="F8" s="23"/>
      <c r="G8" s="23"/>
      <c r="H8" s="23"/>
      <c r="I8" s="23"/>
      <c r="J8" s="22"/>
      <c r="K8" s="23"/>
      <c r="L8" s="24" t="s">
        <v>39</v>
      </c>
      <c r="M8" s="23"/>
      <c r="N8" s="22"/>
      <c r="O8" s="22"/>
    </row>
    <row r="9" spans="1:18" ht="15.6" x14ac:dyDescent="0.3">
      <c r="A9" s="22"/>
      <c r="B9" s="22"/>
      <c r="C9" s="22"/>
      <c r="D9" s="25" t="s">
        <v>40</v>
      </c>
      <c r="E9" s="23"/>
      <c r="F9" s="23"/>
      <c r="G9" s="23"/>
      <c r="H9" s="23"/>
      <c r="I9" s="23"/>
      <c r="J9" s="22"/>
      <c r="K9" s="23"/>
      <c r="L9" s="84" t="s">
        <v>41</v>
      </c>
      <c r="M9" s="23"/>
      <c r="N9" s="22"/>
      <c r="O9" s="22"/>
    </row>
    <row r="10" spans="1:18" ht="15.6" x14ac:dyDescent="0.3">
      <c r="A10" s="22"/>
      <c r="B10" s="22"/>
      <c r="C10" s="22"/>
      <c r="D10" s="23" t="s">
        <v>260</v>
      </c>
      <c r="E10" s="23"/>
      <c r="F10" s="23"/>
      <c r="G10" s="23"/>
      <c r="H10" s="23"/>
      <c r="I10" s="23"/>
      <c r="J10" s="22"/>
      <c r="K10" s="23"/>
      <c r="L10" s="26" t="s">
        <v>258</v>
      </c>
      <c r="M10" s="23"/>
      <c r="N10" s="22"/>
      <c r="O10" s="22"/>
    </row>
    <row r="11" spans="1:18" ht="15.6" x14ac:dyDescent="0.3">
      <c r="A11" s="22"/>
      <c r="B11" s="22"/>
      <c r="C11" s="22"/>
      <c r="D11" s="23"/>
      <c r="E11" s="23"/>
      <c r="F11" s="23"/>
      <c r="G11" s="23"/>
      <c r="H11" s="23"/>
      <c r="I11" s="23"/>
      <c r="J11" s="22"/>
      <c r="K11" s="23"/>
      <c r="L11" s="26" t="s">
        <v>42</v>
      </c>
      <c r="M11" s="23"/>
      <c r="N11" s="22"/>
      <c r="O11" s="22"/>
    </row>
    <row r="12" spans="1:18" ht="15.6" x14ac:dyDescent="0.3">
      <c r="A12" s="22"/>
      <c r="B12" s="22"/>
      <c r="C12" s="22"/>
      <c r="D12" s="23"/>
      <c r="E12" s="23"/>
      <c r="F12" s="23"/>
      <c r="G12" s="23"/>
      <c r="H12" s="23"/>
      <c r="I12" s="23"/>
      <c r="J12" s="22"/>
      <c r="K12" s="23"/>
      <c r="L12" s="26"/>
      <c r="M12" s="23"/>
      <c r="N12" s="22"/>
      <c r="O12" s="22"/>
      <c r="R12" s="14"/>
    </row>
    <row r="13" spans="1:18" ht="15.6" x14ac:dyDescent="0.3">
      <c r="A13" s="22"/>
      <c r="B13" s="22"/>
      <c r="C13" s="22"/>
      <c r="D13" s="27" t="s">
        <v>43</v>
      </c>
      <c r="E13" s="24"/>
      <c r="F13" s="23"/>
      <c r="G13" s="23"/>
      <c r="H13" s="23"/>
      <c r="I13" s="23"/>
      <c r="J13" s="22"/>
      <c r="K13" s="23"/>
      <c r="L13" s="27" t="s">
        <v>44</v>
      </c>
      <c r="M13" s="23"/>
      <c r="N13" s="22"/>
      <c r="O13" s="22"/>
    </row>
    <row r="14" spans="1:18" ht="15.6" x14ac:dyDescent="0.3">
      <c r="A14" s="22"/>
      <c r="B14" s="22"/>
      <c r="C14" s="22"/>
      <c r="D14" s="28" t="s">
        <v>45</v>
      </c>
      <c r="E14" s="23"/>
      <c r="F14" s="23"/>
      <c r="G14" s="23"/>
      <c r="H14" s="23"/>
      <c r="I14" s="29"/>
      <c r="J14" s="22"/>
      <c r="K14" s="23"/>
      <c r="L14" s="28" t="s">
        <v>46</v>
      </c>
      <c r="M14" s="23"/>
      <c r="N14" s="22"/>
      <c r="O14" s="22"/>
    </row>
    <row r="15" spans="1:18" ht="15.6" x14ac:dyDescent="0.3">
      <c r="A15" s="22"/>
      <c r="B15" s="22"/>
      <c r="C15" s="22"/>
      <c r="D15" s="23" t="s">
        <v>257</v>
      </c>
      <c r="E15" s="23"/>
      <c r="F15" s="23"/>
      <c r="G15" s="23"/>
      <c r="H15" s="23"/>
      <c r="I15" s="23"/>
      <c r="J15" s="22"/>
      <c r="K15" s="23"/>
      <c r="L15" s="23" t="s">
        <v>47</v>
      </c>
      <c r="M15" s="23"/>
      <c r="N15" s="22"/>
      <c r="O15" s="22"/>
    </row>
    <row r="16" spans="1:18" ht="15.6" x14ac:dyDescent="0.3">
      <c r="A16" s="22"/>
      <c r="B16" s="22"/>
      <c r="C16" s="22"/>
      <c r="D16" s="23" t="s">
        <v>48</v>
      </c>
      <c r="E16" s="23"/>
      <c r="F16" s="23"/>
      <c r="G16" s="23"/>
      <c r="H16" s="23"/>
      <c r="I16" s="23"/>
      <c r="J16" s="22"/>
      <c r="K16" s="23"/>
      <c r="L16" s="23" t="s">
        <v>49</v>
      </c>
      <c r="M16" s="23"/>
      <c r="N16" s="22"/>
      <c r="O16" s="22"/>
    </row>
    <row r="17" spans="1:15" ht="15.6" x14ac:dyDescent="0.3">
      <c r="A17" s="22"/>
      <c r="B17" s="22"/>
      <c r="C17" s="22"/>
      <c r="D17" s="22"/>
      <c r="E17" s="22"/>
      <c r="F17" s="22"/>
      <c r="G17" s="22"/>
      <c r="H17" s="22"/>
      <c r="I17" s="22"/>
      <c r="J17" s="22"/>
      <c r="K17" s="22"/>
      <c r="L17" s="22"/>
      <c r="M17" s="22"/>
      <c r="N17" s="22"/>
      <c r="O17" s="22"/>
    </row>
    <row r="18" spans="1:15" ht="15.6" x14ac:dyDescent="0.3">
      <c r="A18" s="22"/>
      <c r="B18" s="22"/>
      <c r="C18" s="22"/>
      <c r="D18" s="22"/>
      <c r="E18" s="22"/>
      <c r="F18" s="22"/>
      <c r="G18" s="22"/>
      <c r="H18" s="22"/>
      <c r="I18" s="22"/>
      <c r="J18" s="22"/>
      <c r="K18" s="22"/>
      <c r="L18" s="22"/>
      <c r="M18" s="22"/>
      <c r="N18" s="22"/>
      <c r="O18" s="22"/>
    </row>
    <row r="19" spans="1:15" ht="15.6" x14ac:dyDescent="0.3">
      <c r="A19" s="125" t="s">
        <v>50</v>
      </c>
      <c r="B19" s="125"/>
      <c r="C19" s="125"/>
      <c r="D19" s="125"/>
      <c r="E19" s="125"/>
      <c r="F19" s="125"/>
      <c r="G19" s="125"/>
      <c r="H19" s="125"/>
      <c r="I19" s="125"/>
      <c r="J19" s="125"/>
      <c r="K19" s="125"/>
      <c r="L19" s="125"/>
      <c r="M19" s="125"/>
      <c r="N19" s="125"/>
      <c r="O19" s="22"/>
    </row>
    <row r="20" spans="1:15" ht="15.6" x14ac:dyDescent="0.3">
      <c r="A20" s="111" t="s">
        <v>51</v>
      </c>
      <c r="B20" s="111"/>
      <c r="C20" s="111"/>
      <c r="D20" s="111"/>
      <c r="E20" s="111"/>
      <c r="F20" s="111"/>
      <c r="G20" s="111"/>
      <c r="H20" s="111"/>
      <c r="I20" s="111"/>
      <c r="J20" s="111"/>
      <c r="K20" s="111"/>
      <c r="L20" s="111"/>
      <c r="M20" s="111"/>
      <c r="N20" s="111"/>
      <c r="O20" s="22"/>
    </row>
    <row r="21" spans="1:15" ht="15.6" x14ac:dyDescent="0.3">
      <c r="A21" s="22"/>
      <c r="B21" s="22"/>
      <c r="C21" s="22"/>
      <c r="D21" s="22"/>
      <c r="E21" s="22"/>
      <c r="F21" s="22"/>
      <c r="G21" s="22"/>
      <c r="H21" s="22"/>
      <c r="I21" s="22"/>
      <c r="J21" s="22"/>
      <c r="K21" s="22"/>
      <c r="L21" s="22"/>
      <c r="M21" s="22"/>
      <c r="N21" s="22"/>
      <c r="O21" s="22"/>
    </row>
    <row r="22" spans="1:15" ht="15.6" x14ac:dyDescent="0.3">
      <c r="A22" s="22"/>
      <c r="B22" s="22"/>
      <c r="C22" s="22"/>
      <c r="D22" s="87" t="s">
        <v>52</v>
      </c>
      <c r="E22" s="23"/>
      <c r="F22" s="23"/>
      <c r="G22" s="23"/>
      <c r="H22" s="23"/>
      <c r="I22" s="23"/>
      <c r="J22" s="23"/>
      <c r="K22" s="23"/>
      <c r="L22" s="87" t="s">
        <v>53</v>
      </c>
      <c r="M22" s="23"/>
      <c r="N22" s="23"/>
      <c r="O22" s="22"/>
    </row>
    <row r="23" spans="1:15" ht="15.6" x14ac:dyDescent="0.3">
      <c r="A23" s="22"/>
      <c r="B23" s="22"/>
      <c r="C23" s="22"/>
      <c r="D23" s="25" t="s">
        <v>54</v>
      </c>
      <c r="E23" s="23"/>
      <c r="F23" s="23"/>
      <c r="G23" s="23"/>
      <c r="H23" s="23"/>
      <c r="I23" s="23"/>
      <c r="J23" s="23"/>
      <c r="K23" s="23"/>
      <c r="L23" s="28" t="s">
        <v>55</v>
      </c>
      <c r="M23" s="23"/>
      <c r="N23" s="23"/>
      <c r="O23" s="22"/>
    </row>
    <row r="24" spans="1:15" ht="15.6" x14ac:dyDescent="0.3">
      <c r="A24" s="22"/>
      <c r="B24" s="22"/>
      <c r="C24" s="22"/>
      <c r="D24" s="85" t="s">
        <v>56</v>
      </c>
      <c r="E24" s="23"/>
      <c r="F24" s="23"/>
      <c r="G24" s="23"/>
      <c r="H24" s="23"/>
      <c r="I24" s="23"/>
      <c r="J24" s="23"/>
      <c r="K24" s="23"/>
      <c r="L24" s="85" t="s">
        <v>57</v>
      </c>
      <c r="M24" s="23"/>
      <c r="N24" s="23"/>
      <c r="O24" s="22"/>
    </row>
    <row r="25" spans="1:15" ht="15.6" x14ac:dyDescent="0.3">
      <c r="A25" s="22"/>
      <c r="B25" s="22"/>
      <c r="C25" s="22"/>
      <c r="D25" s="85" t="s">
        <v>58</v>
      </c>
      <c r="E25" s="23"/>
      <c r="F25" s="23"/>
      <c r="G25" s="23"/>
      <c r="H25" s="23"/>
      <c r="I25" s="23"/>
      <c r="J25" s="23"/>
      <c r="K25" s="23"/>
      <c r="L25" s="26" t="s">
        <v>59</v>
      </c>
      <c r="M25" s="23"/>
      <c r="N25" s="23"/>
      <c r="O25" s="22"/>
    </row>
    <row r="26" spans="1:15" ht="15.6" x14ac:dyDescent="0.3">
      <c r="A26" s="22"/>
      <c r="B26" s="22"/>
      <c r="C26" s="22"/>
      <c r="D26" s="23"/>
      <c r="E26" s="23"/>
      <c r="F26" s="23"/>
      <c r="G26" s="23"/>
      <c r="H26" s="23"/>
      <c r="I26" s="23"/>
      <c r="J26" s="23"/>
      <c r="K26" s="23"/>
      <c r="L26" s="23"/>
      <c r="M26" s="23"/>
      <c r="N26" s="23"/>
      <c r="O26" s="22"/>
    </row>
    <row r="27" spans="1:15" ht="15.6" x14ac:dyDescent="0.3">
      <c r="A27" s="22"/>
      <c r="B27" s="22"/>
      <c r="C27" s="22"/>
      <c r="D27" s="24" t="s">
        <v>270</v>
      </c>
      <c r="E27" s="23"/>
      <c r="F27" s="23"/>
      <c r="G27" s="23"/>
      <c r="H27" s="23"/>
      <c r="I27" s="23"/>
      <c r="J27" s="23"/>
      <c r="K27" s="23"/>
      <c r="L27" s="87" t="s">
        <v>60</v>
      </c>
      <c r="M27" s="23"/>
      <c r="N27" s="23"/>
      <c r="O27" s="22"/>
    </row>
    <row r="28" spans="1:15" ht="15.6" x14ac:dyDescent="0.3">
      <c r="A28" s="22"/>
      <c r="B28" s="22"/>
      <c r="C28" s="22"/>
      <c r="D28" s="94" t="s">
        <v>269</v>
      </c>
      <c r="E28" s="23"/>
      <c r="F28" s="23"/>
      <c r="G28" s="23"/>
      <c r="H28" s="23"/>
      <c r="I28" s="23"/>
      <c r="J28" s="23"/>
      <c r="K28" s="23"/>
      <c r="L28" s="28" t="s">
        <v>61</v>
      </c>
      <c r="M28" s="23"/>
      <c r="N28" s="23"/>
      <c r="O28" s="22"/>
    </row>
    <row r="29" spans="1:15" ht="15.6" x14ac:dyDescent="0.3">
      <c r="A29" s="22"/>
      <c r="B29" s="22"/>
      <c r="C29" s="22"/>
      <c r="D29" s="85" t="s">
        <v>62</v>
      </c>
      <c r="E29" s="23"/>
      <c r="F29" s="23"/>
      <c r="G29" s="23"/>
      <c r="H29" s="23"/>
      <c r="I29" s="23"/>
      <c r="J29" s="23"/>
      <c r="K29" s="23"/>
      <c r="L29" s="85" t="s">
        <v>63</v>
      </c>
      <c r="M29" s="23"/>
      <c r="N29" s="23"/>
      <c r="O29" s="22"/>
    </row>
    <row r="30" spans="1:15" ht="15.6" x14ac:dyDescent="0.3">
      <c r="A30" s="22"/>
      <c r="B30" s="22"/>
      <c r="C30" s="22"/>
      <c r="D30" s="26" t="s">
        <v>271</v>
      </c>
      <c r="E30" s="23"/>
      <c r="F30" s="23"/>
      <c r="G30" s="23"/>
      <c r="H30" s="23"/>
      <c r="I30" s="23"/>
      <c r="J30" s="23"/>
      <c r="K30" s="23"/>
      <c r="L30" s="85" t="s">
        <v>64</v>
      </c>
      <c r="M30" s="23"/>
      <c r="N30" s="23"/>
      <c r="O30" s="22"/>
    </row>
    <row r="31" spans="1:15" ht="12" customHeight="1" x14ac:dyDescent="0.3">
      <c r="A31" s="22"/>
      <c r="B31" s="22"/>
      <c r="C31" s="22"/>
      <c r="D31" s="22"/>
      <c r="E31" s="22"/>
      <c r="F31" s="22"/>
      <c r="G31" s="22"/>
      <c r="H31" s="22"/>
      <c r="I31" s="22"/>
      <c r="J31" s="22"/>
      <c r="K31" s="22"/>
      <c r="L31" s="22"/>
      <c r="M31" s="22"/>
      <c r="N31" s="22"/>
      <c r="O31" s="22"/>
    </row>
    <row r="32" spans="1:15" x14ac:dyDescent="0.25">
      <c r="A32" s="120" t="s">
        <v>65</v>
      </c>
      <c r="B32" s="120"/>
      <c r="C32" s="120"/>
      <c r="D32" s="120"/>
      <c r="E32" s="120"/>
      <c r="F32" s="120"/>
      <c r="G32" s="120"/>
      <c r="H32" s="120"/>
      <c r="I32" s="120"/>
      <c r="J32" s="120"/>
      <c r="K32" s="120"/>
      <c r="L32" s="120"/>
      <c r="M32" s="120"/>
      <c r="N32" s="120"/>
      <c r="O32" s="120"/>
    </row>
    <row r="33" spans="1:15" x14ac:dyDescent="0.25">
      <c r="A33" s="120"/>
      <c r="B33" s="120"/>
      <c r="C33" s="120"/>
      <c r="D33" s="120"/>
      <c r="E33" s="120"/>
      <c r="F33" s="120"/>
      <c r="G33" s="120"/>
      <c r="H33" s="120"/>
      <c r="I33" s="120"/>
      <c r="J33" s="120"/>
      <c r="K33" s="120"/>
      <c r="L33" s="120"/>
      <c r="M33" s="120"/>
      <c r="N33" s="120"/>
      <c r="O33" s="120"/>
    </row>
    <row r="34" spans="1:15" ht="15" customHeight="1" x14ac:dyDescent="0.25">
      <c r="A34" s="2"/>
    </row>
    <row r="35" spans="1:15" x14ac:dyDescent="0.25">
      <c r="A35" s="2"/>
    </row>
    <row r="36" spans="1:15" ht="15" x14ac:dyDescent="0.25">
      <c r="A36" s="13"/>
    </row>
  </sheetData>
  <mergeCells count="8">
    <mergeCell ref="A20:N20"/>
    <mergeCell ref="A32:O33"/>
    <mergeCell ref="A1:O1"/>
    <mergeCell ref="A2:O2"/>
    <mergeCell ref="A4:O4"/>
    <mergeCell ref="A5:O5"/>
    <mergeCell ref="A6:O6"/>
    <mergeCell ref="A19:N19"/>
  </mergeCells>
  <hyperlinks>
    <hyperlink ref="D9" location="mailto:Jean.Lin.Pao@hud.gov" display="mailto:Jean.Lin.Pao@hud.gov" xr:uid="{05FD0A80-B47E-42C6-87E8-5C6FFA57138C}"/>
    <hyperlink ref="L9" r:id="rId1" xr:uid="{12BB3681-8F61-4652-86E3-5E6F9F89460A}"/>
    <hyperlink ref="D23" location="mailto:Nicole.H.Jackson@hud.gov" display="mailto:Nicole.H.Jackson@hud.gov" xr:uid="{563DD0D0-1E82-438A-85C5-771E558F730B}"/>
    <hyperlink ref="D28" r:id="rId2" xr:uid="{898985A6-5E1E-4A3B-91BA-1634F3634A92}"/>
    <hyperlink ref="L14" r:id="rId3" xr:uid="{3D660F5B-BD87-4083-91D0-9B05E821F525}"/>
    <hyperlink ref="L23" r:id="rId4" xr:uid="{1B032420-D20F-4144-A5D5-AC067EC8823D}"/>
    <hyperlink ref="L28" r:id="rId5" xr:uid="{B95FDF48-C4FB-49A6-82F7-C8EAB9E27762}"/>
    <hyperlink ref="D14" r:id="rId6" xr:uid="{8EBB5D12-ACF8-4110-9DB5-5F37AAF894E3}"/>
  </hyperlinks>
  <pageMargins left="0.25" right="0.25" top="0.25" bottom="0.3" header="0.15" footer="0.15"/>
  <pageSetup orientation="landscape" r:id="rId7"/>
  <headerFooter>
    <oddFooter>&amp;Cv</oddFooter>
  </headerFooter>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80B58-6971-4464-8CF0-071D580919E6}">
  <sheetPr codeName="Sheet7"/>
  <dimension ref="A1:O28"/>
  <sheetViews>
    <sheetView zoomScaleNormal="100" zoomScaleSheetLayoutView="100" workbookViewId="0">
      <selection sqref="A1:R1"/>
    </sheetView>
  </sheetViews>
  <sheetFormatPr defaultColWidth="8.6640625" defaultRowHeight="13.8" x14ac:dyDescent="0.25"/>
  <cols>
    <col min="1" max="1" width="3.44140625" style="71" customWidth="1"/>
    <col min="2" max="14" width="8.6640625" style="12"/>
    <col min="15" max="16" width="8.6640625" style="12" customWidth="1"/>
    <col min="17" max="16384" width="8.6640625" style="12"/>
  </cols>
  <sheetData>
    <row r="1" spans="1:15" ht="21" thickBot="1" x14ac:dyDescent="0.3">
      <c r="A1" s="128" t="s">
        <v>68</v>
      </c>
      <c r="B1" s="129"/>
      <c r="C1" s="129"/>
      <c r="D1" s="129"/>
      <c r="E1" s="129"/>
      <c r="F1" s="129"/>
      <c r="G1" s="129"/>
      <c r="H1" s="129"/>
      <c r="I1" s="129"/>
      <c r="J1" s="129"/>
      <c r="K1" s="129"/>
      <c r="L1" s="129"/>
      <c r="M1" s="129"/>
      <c r="N1" s="129"/>
      <c r="O1" s="130"/>
    </row>
    <row r="3" spans="1:15" ht="15.6" x14ac:dyDescent="0.25">
      <c r="A3" s="71" t="s">
        <v>69</v>
      </c>
      <c r="B3" s="131" t="s">
        <v>70</v>
      </c>
      <c r="C3" s="131"/>
      <c r="D3" s="131"/>
      <c r="E3" s="131"/>
      <c r="F3" s="131"/>
      <c r="G3" s="131"/>
      <c r="H3" s="131"/>
      <c r="I3" s="131"/>
      <c r="J3" s="131"/>
      <c r="K3" s="131"/>
      <c r="L3" s="131"/>
      <c r="M3" s="131"/>
      <c r="N3" s="131"/>
      <c r="O3" s="131"/>
    </row>
    <row r="5" spans="1:15" ht="50.25" customHeight="1" x14ac:dyDescent="0.25">
      <c r="A5" s="71" t="s">
        <v>69</v>
      </c>
      <c r="B5" s="126" t="s">
        <v>71</v>
      </c>
      <c r="C5" s="126"/>
      <c r="D5" s="126"/>
      <c r="E5" s="126"/>
      <c r="F5" s="126"/>
      <c r="G5" s="126"/>
      <c r="H5" s="126"/>
      <c r="I5" s="126"/>
      <c r="J5" s="126"/>
      <c r="K5" s="126"/>
      <c r="L5" s="126"/>
      <c r="M5" s="126"/>
      <c r="N5" s="126"/>
      <c r="O5" s="126"/>
    </row>
    <row r="7" spans="1:15" ht="48.75" customHeight="1" x14ac:dyDescent="0.25">
      <c r="A7" s="71" t="s">
        <v>69</v>
      </c>
      <c r="B7" s="126" t="s">
        <v>72</v>
      </c>
      <c r="C7" s="126"/>
      <c r="D7" s="126"/>
      <c r="E7" s="126"/>
      <c r="F7" s="126"/>
      <c r="G7" s="126"/>
      <c r="H7" s="126"/>
      <c r="I7" s="126"/>
      <c r="J7" s="126"/>
      <c r="K7" s="126"/>
      <c r="L7" s="126"/>
      <c r="M7" s="126"/>
      <c r="N7" s="126"/>
      <c r="O7" s="126"/>
    </row>
    <row r="9" spans="1:15" ht="48.75" customHeight="1" x14ac:dyDescent="0.3">
      <c r="A9" s="71" t="s">
        <v>69</v>
      </c>
      <c r="B9" s="127" t="s">
        <v>73</v>
      </c>
      <c r="C9" s="127"/>
      <c r="D9" s="127"/>
      <c r="E9" s="127"/>
      <c r="F9" s="127"/>
      <c r="G9" s="127"/>
      <c r="H9" s="127"/>
      <c r="I9" s="127"/>
      <c r="J9" s="127"/>
      <c r="K9" s="127"/>
      <c r="L9" s="127"/>
      <c r="M9" s="127"/>
      <c r="N9" s="127"/>
      <c r="O9" s="127"/>
    </row>
    <row r="11" spans="1:15" ht="49.5" customHeight="1" x14ac:dyDescent="0.25">
      <c r="A11" s="71" t="s">
        <v>69</v>
      </c>
      <c r="B11" s="126" t="s">
        <v>74</v>
      </c>
      <c r="C11" s="126"/>
      <c r="D11" s="126"/>
      <c r="E11" s="126"/>
      <c r="F11" s="126"/>
      <c r="G11" s="126"/>
      <c r="H11" s="126"/>
      <c r="I11" s="126"/>
      <c r="J11" s="126"/>
      <c r="K11" s="126"/>
      <c r="L11" s="126"/>
      <c r="M11" s="126"/>
      <c r="N11" s="126"/>
      <c r="O11" s="126"/>
    </row>
    <row r="13" spans="1:15" ht="63.75" customHeight="1" x14ac:dyDescent="0.25">
      <c r="A13" s="71" t="s">
        <v>69</v>
      </c>
      <c r="B13" s="126" t="s">
        <v>75</v>
      </c>
      <c r="C13" s="126"/>
      <c r="D13" s="126"/>
      <c r="E13" s="126"/>
      <c r="F13" s="126"/>
      <c r="G13" s="126"/>
      <c r="H13" s="126"/>
      <c r="I13" s="126"/>
      <c r="J13" s="126"/>
      <c r="K13" s="126"/>
      <c r="L13" s="126"/>
      <c r="M13" s="126"/>
      <c r="N13" s="126"/>
      <c r="O13" s="126"/>
    </row>
    <row r="15" spans="1:15" ht="51" customHeight="1" x14ac:dyDescent="0.25">
      <c r="A15" s="71" t="s">
        <v>69</v>
      </c>
      <c r="B15" s="126" t="s">
        <v>76</v>
      </c>
      <c r="C15" s="126"/>
      <c r="D15" s="126"/>
      <c r="E15" s="126"/>
      <c r="F15" s="126"/>
      <c r="G15" s="126"/>
      <c r="H15" s="126"/>
      <c r="I15" s="126"/>
      <c r="J15" s="126"/>
      <c r="K15" s="126"/>
      <c r="L15" s="126"/>
      <c r="M15" s="126"/>
      <c r="N15" s="126"/>
      <c r="O15" s="126"/>
    </row>
    <row r="17" spans="1:15" ht="33" customHeight="1" x14ac:dyDescent="0.25">
      <c r="A17" s="71" t="s">
        <v>69</v>
      </c>
      <c r="B17" s="126" t="s">
        <v>77</v>
      </c>
      <c r="C17" s="126"/>
      <c r="D17" s="126"/>
      <c r="E17" s="126"/>
      <c r="F17" s="126"/>
      <c r="G17" s="126"/>
      <c r="H17" s="126"/>
      <c r="I17" s="126"/>
      <c r="J17" s="126"/>
      <c r="K17" s="126"/>
      <c r="L17" s="126"/>
      <c r="M17" s="126"/>
      <c r="N17" s="126"/>
      <c r="O17" s="126"/>
    </row>
    <row r="19" spans="1:15" ht="63.75" customHeight="1" x14ac:dyDescent="0.3">
      <c r="A19" s="71" t="s">
        <v>69</v>
      </c>
      <c r="B19" s="127" t="s">
        <v>78</v>
      </c>
      <c r="C19" s="127"/>
      <c r="D19" s="127"/>
      <c r="E19" s="127"/>
      <c r="F19" s="127"/>
      <c r="G19" s="127"/>
      <c r="H19" s="127"/>
      <c r="I19" s="127"/>
      <c r="J19" s="127"/>
      <c r="K19" s="127"/>
      <c r="L19" s="127"/>
      <c r="M19" s="127"/>
      <c r="N19" s="127"/>
      <c r="O19" s="127"/>
    </row>
    <row r="20" spans="1:15" ht="15.6" x14ac:dyDescent="0.25">
      <c r="B20" s="77"/>
    </row>
    <row r="21" spans="1:15" ht="110.25" customHeight="1" x14ac:dyDescent="0.3">
      <c r="A21" s="71" t="s">
        <v>69</v>
      </c>
      <c r="B21" s="127" t="s">
        <v>79</v>
      </c>
      <c r="C21" s="127"/>
      <c r="D21" s="127"/>
      <c r="E21" s="127"/>
      <c r="F21" s="127"/>
      <c r="G21" s="127"/>
      <c r="H21" s="127"/>
      <c r="I21" s="127"/>
      <c r="J21" s="127"/>
      <c r="K21" s="127"/>
      <c r="L21" s="127"/>
      <c r="M21" s="127"/>
      <c r="N21" s="127"/>
      <c r="O21" s="127"/>
    </row>
    <row r="23" spans="1:15" ht="47.25" customHeight="1" x14ac:dyDescent="0.25">
      <c r="A23" s="71" t="s">
        <v>69</v>
      </c>
      <c r="B23" s="126" t="s">
        <v>80</v>
      </c>
      <c r="C23" s="126"/>
      <c r="D23" s="126"/>
      <c r="E23" s="126"/>
      <c r="F23" s="126"/>
      <c r="G23" s="126"/>
      <c r="H23" s="126"/>
      <c r="I23" s="126"/>
      <c r="J23" s="126"/>
      <c r="K23" s="126"/>
      <c r="L23" s="126"/>
      <c r="M23" s="126"/>
      <c r="N23" s="126"/>
      <c r="O23" s="126"/>
    </row>
    <row r="24" spans="1:15" ht="15.6" x14ac:dyDescent="0.25">
      <c r="B24" s="77"/>
    </row>
    <row r="25" spans="1:15" ht="63.75" customHeight="1" x14ac:dyDescent="0.25">
      <c r="A25" s="71" t="s">
        <v>69</v>
      </c>
      <c r="B25" s="126" t="s">
        <v>81</v>
      </c>
      <c r="C25" s="126"/>
      <c r="D25" s="126"/>
      <c r="E25" s="126"/>
      <c r="F25" s="126"/>
      <c r="G25" s="126"/>
      <c r="H25" s="126"/>
      <c r="I25" s="126"/>
      <c r="J25" s="126"/>
      <c r="K25" s="126"/>
      <c r="L25" s="126"/>
      <c r="M25" s="126"/>
      <c r="N25" s="126"/>
      <c r="O25" s="126"/>
    </row>
    <row r="28" spans="1:15" ht="15" x14ac:dyDescent="0.25">
      <c r="B28" s="13"/>
    </row>
  </sheetData>
  <mergeCells count="13">
    <mergeCell ref="B11:O11"/>
    <mergeCell ref="A1:O1"/>
    <mergeCell ref="B3:O3"/>
    <mergeCell ref="B5:O5"/>
    <mergeCell ref="B7:O7"/>
    <mergeCell ref="B9:O9"/>
    <mergeCell ref="B25:O25"/>
    <mergeCell ref="B13:O13"/>
    <mergeCell ref="B15:O15"/>
    <mergeCell ref="B17:O17"/>
    <mergeCell ref="B19:O19"/>
    <mergeCell ref="B21:O21"/>
    <mergeCell ref="B23:O23"/>
  </mergeCells>
  <pageMargins left="0.25" right="0.25" top="0.25" bottom="0.3" header="0.15" footer="0.15"/>
  <pageSetup scale="61" fitToHeight="2" orientation="landscape" r:id="rId1"/>
  <headerFooter>
    <oddFooter>&amp;C9/25/23 - Version 1&amp;R&amp;P</oddFooter>
    <evenFooter>&amp;Cvi</evenFooter>
  </headerFooter>
  <rowBreaks count="1" manualBreakCount="1">
    <brk id="17"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B34C3-A1A0-4D7A-B3DE-03B12DDD005F}">
  <sheetPr codeName="Sheet6"/>
  <dimension ref="A1:A34"/>
  <sheetViews>
    <sheetView workbookViewId="0"/>
  </sheetViews>
  <sheetFormatPr defaultRowHeight="14.4" x14ac:dyDescent="0.3"/>
  <cols>
    <col min="1" max="1" width="127.88671875" customWidth="1"/>
  </cols>
  <sheetData>
    <row r="1" spans="1:1" ht="21" thickBot="1" x14ac:dyDescent="0.35">
      <c r="A1" s="93" t="s">
        <v>66</v>
      </c>
    </row>
    <row r="2" spans="1:1" ht="339" customHeight="1" x14ac:dyDescent="0.3">
      <c r="A2" s="86" t="s">
        <v>67</v>
      </c>
    </row>
    <row r="3" spans="1:1" ht="15.6" x14ac:dyDescent="0.3">
      <c r="A3" s="77"/>
    </row>
    <row r="4" spans="1:1" ht="15.6" x14ac:dyDescent="0.3">
      <c r="A4" s="77"/>
    </row>
    <row r="5" spans="1:1" ht="15.6" x14ac:dyDescent="0.3">
      <c r="A5" s="88"/>
    </row>
    <row r="6" spans="1:1" ht="15.6" x14ac:dyDescent="0.3">
      <c r="A6" s="77"/>
    </row>
    <row r="8" spans="1:1" ht="15.6" x14ac:dyDescent="0.3">
      <c r="A8" s="77"/>
    </row>
    <row r="9" spans="1:1" ht="15.6" x14ac:dyDescent="0.3">
      <c r="A9" s="77"/>
    </row>
    <row r="10" spans="1:1" ht="15.6" x14ac:dyDescent="0.3">
      <c r="A10" s="77"/>
    </row>
    <row r="11" spans="1:1" ht="15.6" x14ac:dyDescent="0.3">
      <c r="A11" s="77"/>
    </row>
    <row r="12" spans="1:1" ht="15.6" x14ac:dyDescent="0.3">
      <c r="A12" s="77"/>
    </row>
    <row r="13" spans="1:1" ht="15.6" x14ac:dyDescent="0.3">
      <c r="A13" s="77"/>
    </row>
    <row r="14" spans="1:1" ht="15.6" x14ac:dyDescent="0.3">
      <c r="A14" s="77"/>
    </row>
    <row r="15" spans="1:1" ht="15.6" x14ac:dyDescent="0.3">
      <c r="A15" s="77"/>
    </row>
    <row r="16" spans="1:1" ht="15.6" x14ac:dyDescent="0.3">
      <c r="A16" s="77"/>
    </row>
    <row r="18" spans="1:1" ht="15.6" x14ac:dyDescent="0.3">
      <c r="A18" s="88"/>
    </row>
    <row r="19" spans="1:1" ht="15.6" x14ac:dyDescent="0.3">
      <c r="A19" s="77"/>
    </row>
    <row r="20" spans="1:1" ht="15.6" x14ac:dyDescent="0.3">
      <c r="A20" s="77"/>
    </row>
    <row r="21" spans="1:1" ht="15.6" x14ac:dyDescent="0.3">
      <c r="A21" s="77"/>
    </row>
    <row r="22" spans="1:1" ht="15.6" x14ac:dyDescent="0.3">
      <c r="A22" s="77"/>
    </row>
    <row r="27" spans="1:1" ht="15" x14ac:dyDescent="0.3">
      <c r="A27" s="4"/>
    </row>
    <row r="34" spans="1:1" x14ac:dyDescent="0.3">
      <c r="A34" s="1"/>
    </row>
  </sheetData>
  <pageMargins left="0.25" right="0.25" top="0.25" bottom="0.3" header="0.15" footer="0.15"/>
  <pageSetup orientation="landscape" r:id="rId1"/>
  <headerFooter>
    <oddFooter>&amp;Cviii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7451E-0FC8-4B42-B697-10A88C4F6C6F}">
  <sheetPr codeName="Sheet8">
    <pageSetUpPr fitToPage="1"/>
  </sheetPr>
  <dimension ref="A1:O25"/>
  <sheetViews>
    <sheetView topLeftCell="A6" workbookViewId="0">
      <selection sqref="A1:O1"/>
    </sheetView>
  </sheetViews>
  <sheetFormatPr defaultRowHeight="14.4" x14ac:dyDescent="0.3"/>
  <cols>
    <col min="15" max="15" width="10.33203125" customWidth="1"/>
  </cols>
  <sheetData>
    <row r="1" spans="1:15" ht="21" thickBot="1" x14ac:dyDescent="0.35">
      <c r="A1" s="128" t="s">
        <v>82</v>
      </c>
      <c r="B1" s="129"/>
      <c r="C1" s="129"/>
      <c r="D1" s="129"/>
      <c r="E1" s="129"/>
      <c r="F1" s="129"/>
      <c r="G1" s="129"/>
      <c r="H1" s="129"/>
      <c r="I1" s="129"/>
      <c r="J1" s="129"/>
      <c r="K1" s="129"/>
      <c r="L1" s="129"/>
      <c r="M1" s="129"/>
      <c r="N1" s="129"/>
      <c r="O1" s="130"/>
    </row>
    <row r="2" spans="1:15" ht="31.5" customHeight="1" x14ac:dyDescent="0.3">
      <c r="A2" s="133" t="s">
        <v>83</v>
      </c>
      <c r="B2" s="133"/>
      <c r="C2" s="133"/>
      <c r="D2" s="133"/>
      <c r="E2" s="133"/>
      <c r="F2" s="133"/>
      <c r="G2" s="133"/>
      <c r="H2" s="133"/>
      <c r="I2" s="133"/>
      <c r="J2" s="133"/>
      <c r="K2" s="133"/>
      <c r="L2" s="133"/>
      <c r="M2" s="133"/>
      <c r="N2" s="133"/>
      <c r="O2" s="133"/>
    </row>
    <row r="3" spans="1:15" ht="13.2" customHeight="1" x14ac:dyDescent="0.3">
      <c r="A3" s="30"/>
      <c r="B3" s="30"/>
      <c r="C3" s="30"/>
      <c r="D3" s="30"/>
      <c r="E3" s="30"/>
      <c r="F3" s="30"/>
      <c r="G3" s="30"/>
      <c r="H3" s="30"/>
      <c r="I3" s="30"/>
      <c r="J3" s="30"/>
      <c r="K3" s="30"/>
      <c r="L3" s="30"/>
      <c r="M3" s="30"/>
      <c r="N3" s="30"/>
      <c r="O3" s="30"/>
    </row>
    <row r="4" spans="1:15" ht="31.5" customHeight="1" x14ac:dyDescent="0.3">
      <c r="A4" s="134" t="s">
        <v>84</v>
      </c>
      <c r="B4" s="134"/>
      <c r="C4" s="134"/>
      <c r="D4" s="134"/>
      <c r="E4" s="134"/>
      <c r="F4" s="134"/>
      <c r="G4" s="134"/>
      <c r="H4" s="134"/>
      <c r="I4" s="134"/>
      <c r="J4" s="134"/>
      <c r="K4" s="134"/>
      <c r="L4" s="134"/>
      <c r="M4" s="134"/>
      <c r="N4" s="134"/>
      <c r="O4" s="134"/>
    </row>
    <row r="5" spans="1:15" ht="13.2" customHeight="1" x14ac:dyDescent="0.3">
      <c r="A5" s="30"/>
      <c r="B5" s="30"/>
      <c r="C5" s="30"/>
      <c r="D5" s="30"/>
      <c r="E5" s="30"/>
      <c r="F5" s="30"/>
      <c r="G5" s="30"/>
      <c r="H5" s="30"/>
      <c r="I5" s="30"/>
      <c r="J5" s="30"/>
      <c r="K5" s="30"/>
      <c r="L5" s="30"/>
      <c r="M5" s="30"/>
      <c r="N5" s="30"/>
      <c r="O5" s="30"/>
    </row>
    <row r="6" spans="1:15" ht="50.7" customHeight="1" x14ac:dyDescent="0.3">
      <c r="A6" s="132" t="s">
        <v>85</v>
      </c>
      <c r="B6" s="132"/>
      <c r="C6" s="132"/>
      <c r="D6" s="132"/>
      <c r="E6" s="132"/>
      <c r="F6" s="132"/>
      <c r="G6" s="132"/>
      <c r="H6" s="132"/>
      <c r="I6" s="132"/>
      <c r="J6" s="132"/>
      <c r="K6" s="132"/>
      <c r="L6" s="132"/>
      <c r="M6" s="132"/>
      <c r="N6" s="132"/>
      <c r="O6" s="132"/>
    </row>
    <row r="7" spans="1:15" ht="13.2" customHeight="1" x14ac:dyDescent="0.3">
      <c r="A7" s="30"/>
      <c r="B7" s="30"/>
      <c r="C7" s="30"/>
      <c r="D7" s="30"/>
      <c r="E7" s="30"/>
      <c r="F7" s="30"/>
      <c r="G7" s="30"/>
      <c r="H7" s="30"/>
      <c r="I7" s="30"/>
      <c r="J7" s="30"/>
      <c r="K7" s="30"/>
      <c r="L7" s="30"/>
      <c r="M7" s="30"/>
      <c r="N7" s="30"/>
      <c r="O7" s="30"/>
    </row>
    <row r="8" spans="1:15" ht="48" customHeight="1" x14ac:dyDescent="0.3">
      <c r="A8" s="132" t="s">
        <v>86</v>
      </c>
      <c r="B8" s="132"/>
      <c r="C8" s="132"/>
      <c r="D8" s="132"/>
      <c r="E8" s="132"/>
      <c r="F8" s="132"/>
      <c r="G8" s="132"/>
      <c r="H8" s="132"/>
      <c r="I8" s="132"/>
      <c r="J8" s="132"/>
      <c r="K8" s="132"/>
      <c r="L8" s="132"/>
      <c r="M8" s="132"/>
      <c r="N8" s="132"/>
      <c r="O8" s="132"/>
    </row>
    <row r="9" spans="1:15" ht="13.2" customHeight="1" x14ac:dyDescent="0.3">
      <c r="A9" s="30"/>
      <c r="B9" s="30"/>
      <c r="C9" s="30"/>
      <c r="D9" s="30"/>
      <c r="E9" s="30"/>
      <c r="F9" s="30"/>
      <c r="G9" s="30"/>
      <c r="H9" s="30"/>
      <c r="I9" s="30"/>
      <c r="J9" s="30"/>
      <c r="K9" s="30"/>
      <c r="L9" s="30"/>
      <c r="M9" s="30"/>
      <c r="N9" s="30"/>
      <c r="O9" s="30"/>
    </row>
    <row r="10" spans="1:15" ht="31.5" customHeight="1" x14ac:dyDescent="0.3">
      <c r="A10" s="132" t="s">
        <v>87</v>
      </c>
      <c r="B10" s="132"/>
      <c r="C10" s="132"/>
      <c r="D10" s="132"/>
      <c r="E10" s="132"/>
      <c r="F10" s="132"/>
      <c r="G10" s="132"/>
      <c r="H10" s="132"/>
      <c r="I10" s="132"/>
      <c r="J10" s="132"/>
      <c r="K10" s="132"/>
      <c r="L10" s="132"/>
      <c r="M10" s="132"/>
      <c r="N10" s="132"/>
      <c r="O10" s="132"/>
    </row>
    <row r="11" spans="1:15" ht="13.2" customHeight="1" x14ac:dyDescent="0.3">
      <c r="A11" s="30"/>
      <c r="B11" s="30"/>
      <c r="C11" s="30"/>
      <c r="D11" s="30"/>
      <c r="E11" s="30"/>
      <c r="F11" s="30"/>
      <c r="G11" s="30"/>
      <c r="H11" s="30"/>
      <c r="I11" s="30"/>
      <c r="J11" s="30"/>
      <c r="K11" s="30"/>
      <c r="L11" s="30"/>
      <c r="M11" s="30"/>
      <c r="N11" s="30"/>
      <c r="O11" s="30"/>
    </row>
    <row r="12" spans="1:15" ht="50.7" customHeight="1" x14ac:dyDescent="0.3">
      <c r="A12" s="132" t="s">
        <v>88</v>
      </c>
      <c r="B12" s="132"/>
      <c r="C12" s="132"/>
      <c r="D12" s="132"/>
      <c r="E12" s="132"/>
      <c r="F12" s="132"/>
      <c r="G12" s="132"/>
      <c r="H12" s="132"/>
      <c r="I12" s="132"/>
      <c r="J12" s="132"/>
      <c r="K12" s="132"/>
      <c r="L12" s="132"/>
      <c r="M12" s="132"/>
      <c r="N12" s="132"/>
      <c r="O12" s="132"/>
    </row>
    <row r="13" spans="1:15" ht="13.2" customHeight="1" x14ac:dyDescent="0.3">
      <c r="A13" s="30"/>
      <c r="B13" s="30"/>
      <c r="C13" s="30"/>
      <c r="D13" s="30"/>
      <c r="E13" s="30"/>
      <c r="F13" s="30"/>
      <c r="G13" s="30"/>
      <c r="H13" s="30"/>
      <c r="I13" s="30"/>
      <c r="J13" s="30"/>
      <c r="K13" s="30"/>
      <c r="L13" s="30"/>
      <c r="M13" s="30"/>
      <c r="N13" s="30"/>
      <c r="O13" s="30"/>
    </row>
    <row r="14" spans="1:15" ht="35.700000000000003" customHeight="1" x14ac:dyDescent="0.3">
      <c r="A14" s="132" t="s">
        <v>89</v>
      </c>
      <c r="B14" s="132"/>
      <c r="C14" s="132"/>
      <c r="D14" s="132"/>
      <c r="E14" s="132"/>
      <c r="F14" s="132"/>
      <c r="G14" s="132"/>
      <c r="H14" s="132"/>
      <c r="I14" s="132"/>
      <c r="J14" s="132"/>
      <c r="K14" s="132"/>
      <c r="L14" s="132"/>
      <c r="M14" s="132"/>
      <c r="N14" s="132"/>
      <c r="O14" s="132"/>
    </row>
    <row r="15" spans="1:15" ht="13.2" customHeight="1" x14ac:dyDescent="0.3">
      <c r="A15" s="30"/>
      <c r="B15" s="30"/>
      <c r="C15" s="30"/>
      <c r="D15" s="30"/>
      <c r="E15" s="30"/>
      <c r="F15" s="30"/>
      <c r="G15" s="30"/>
      <c r="H15" s="30"/>
      <c r="I15" s="30"/>
      <c r="J15" s="30"/>
      <c r="K15" s="30"/>
      <c r="L15" s="30"/>
      <c r="M15" s="30"/>
      <c r="N15" s="30"/>
      <c r="O15" s="30"/>
    </row>
    <row r="16" spans="1:15" ht="29.7" customHeight="1" x14ac:dyDescent="0.3">
      <c r="A16" s="132" t="s">
        <v>90</v>
      </c>
      <c r="B16" s="132"/>
      <c r="C16" s="132"/>
      <c r="D16" s="132"/>
      <c r="E16" s="132"/>
      <c r="F16" s="132"/>
      <c r="G16" s="132"/>
      <c r="H16" s="132"/>
      <c r="I16" s="132"/>
      <c r="J16" s="132"/>
      <c r="K16" s="132"/>
      <c r="L16" s="132"/>
      <c r="M16" s="132"/>
      <c r="N16" s="132"/>
      <c r="O16" s="132"/>
    </row>
    <row r="17" spans="1:15" ht="13.2" customHeight="1" x14ac:dyDescent="0.3">
      <c r="A17" s="77"/>
      <c r="B17" s="30"/>
      <c r="C17" s="30"/>
      <c r="D17" s="30"/>
      <c r="E17" s="30"/>
      <c r="F17" s="30"/>
      <c r="G17" s="30"/>
      <c r="H17" s="30"/>
      <c r="I17" s="30"/>
      <c r="J17" s="30"/>
      <c r="K17" s="30"/>
      <c r="L17" s="30"/>
      <c r="M17" s="30"/>
      <c r="N17" s="30"/>
      <c r="O17" s="30"/>
    </row>
    <row r="18" spans="1:15" ht="32.700000000000003" customHeight="1" x14ac:dyDescent="0.3">
      <c r="A18" s="134" t="s">
        <v>91</v>
      </c>
      <c r="B18" s="134"/>
      <c r="C18" s="134"/>
      <c r="D18" s="134"/>
      <c r="E18" s="134"/>
      <c r="F18" s="134"/>
      <c r="G18" s="134"/>
      <c r="H18" s="134"/>
      <c r="I18" s="134"/>
      <c r="J18" s="134"/>
      <c r="K18" s="134"/>
      <c r="L18" s="134"/>
      <c r="M18" s="134"/>
      <c r="N18" s="134"/>
      <c r="O18" s="134"/>
    </row>
    <row r="19" spans="1:15" ht="13.2" customHeight="1" x14ac:dyDescent="0.3">
      <c r="A19" s="88"/>
      <c r="B19" s="30"/>
      <c r="C19" s="30"/>
      <c r="D19" s="30"/>
      <c r="E19" s="30"/>
      <c r="F19" s="30"/>
      <c r="G19" s="30"/>
      <c r="H19" s="30"/>
      <c r="I19" s="30"/>
      <c r="J19" s="30"/>
      <c r="K19" s="30"/>
      <c r="L19" s="30"/>
      <c r="M19" s="30"/>
      <c r="N19" s="30"/>
      <c r="O19" s="30"/>
    </row>
    <row r="20" spans="1:15" ht="15.6" x14ac:dyDescent="0.3">
      <c r="A20" s="131" t="s">
        <v>92</v>
      </c>
      <c r="B20" s="131"/>
      <c r="C20" s="131"/>
      <c r="D20" s="131"/>
      <c r="E20" s="131"/>
      <c r="F20" s="131"/>
      <c r="G20" s="131"/>
      <c r="H20" s="131"/>
      <c r="I20" s="131"/>
      <c r="J20" s="131"/>
      <c r="K20" s="131"/>
      <c r="L20" s="131"/>
      <c r="M20" s="131"/>
      <c r="N20" s="131"/>
      <c r="O20" s="131"/>
    </row>
    <row r="21" spans="1:15" ht="13.2" customHeight="1" x14ac:dyDescent="0.3">
      <c r="A21" s="30"/>
      <c r="B21" s="30"/>
      <c r="C21" s="30"/>
      <c r="D21" s="30"/>
      <c r="E21" s="30"/>
      <c r="F21" s="30"/>
      <c r="G21" s="30"/>
      <c r="H21" s="30"/>
      <c r="I21" s="30"/>
      <c r="J21" s="30"/>
      <c r="K21" s="30"/>
      <c r="L21" s="30"/>
      <c r="M21" s="30"/>
      <c r="N21" s="30"/>
      <c r="O21" s="30"/>
    </row>
    <row r="22" spans="1:15" ht="32.700000000000003" customHeight="1" x14ac:dyDescent="0.3">
      <c r="A22" s="132" t="s">
        <v>93</v>
      </c>
      <c r="B22" s="132"/>
      <c r="C22" s="132"/>
      <c r="D22" s="132"/>
      <c r="E22" s="132"/>
      <c r="F22" s="132"/>
      <c r="G22" s="132"/>
      <c r="H22" s="132"/>
      <c r="I22" s="132"/>
      <c r="J22" s="132"/>
      <c r="K22" s="132"/>
      <c r="L22" s="132"/>
      <c r="M22" s="132"/>
      <c r="N22" s="132"/>
      <c r="O22" s="132"/>
    </row>
    <row r="25" spans="1:15" ht="15" x14ac:dyDescent="0.3">
      <c r="A25" s="5"/>
    </row>
  </sheetData>
  <mergeCells count="12">
    <mergeCell ref="A22:O22"/>
    <mergeCell ref="A1:O1"/>
    <mergeCell ref="A2:O2"/>
    <mergeCell ref="A4:O4"/>
    <mergeCell ref="A6:O6"/>
    <mergeCell ref="A8:O8"/>
    <mergeCell ref="A10:O10"/>
    <mergeCell ref="A12:O12"/>
    <mergeCell ref="A14:O14"/>
    <mergeCell ref="A16:O16"/>
    <mergeCell ref="A18:O18"/>
    <mergeCell ref="A20:O20"/>
  </mergeCells>
  <pageMargins left="0.25" right="0.25" top="0.25" bottom="0.3" header="0.15" footer="0.15"/>
  <pageSetup scale="99" fitToHeight="0" orientation="landscape" r:id="rId1"/>
  <headerFooter>
    <oddFooter>&amp;Cix</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B69B9-7F45-432A-914A-A08068DD5771}">
  <sheetPr codeName="Sheet9"/>
  <dimension ref="A1:O30"/>
  <sheetViews>
    <sheetView workbookViewId="0">
      <selection activeCell="A7" sqref="A7:O7"/>
    </sheetView>
  </sheetViews>
  <sheetFormatPr defaultRowHeight="14.4" x14ac:dyDescent="0.3"/>
  <cols>
    <col min="1" max="14" width="8.6640625" customWidth="1"/>
    <col min="15" max="15" width="8.109375" customWidth="1"/>
  </cols>
  <sheetData>
    <row r="1" spans="1:15" ht="21" thickBot="1" x14ac:dyDescent="0.35">
      <c r="A1" s="136" t="s">
        <v>94</v>
      </c>
      <c r="B1" s="137"/>
      <c r="C1" s="137"/>
      <c r="D1" s="137"/>
      <c r="E1" s="137"/>
      <c r="F1" s="137"/>
      <c r="G1" s="137"/>
      <c r="H1" s="137"/>
      <c r="I1" s="137"/>
      <c r="J1" s="137"/>
      <c r="K1" s="137"/>
      <c r="L1" s="137"/>
      <c r="M1" s="137"/>
      <c r="N1" s="137"/>
      <c r="O1" s="138"/>
    </row>
    <row r="2" spans="1:15" ht="12" customHeight="1" x14ac:dyDescent="0.3">
      <c r="A2" s="78"/>
      <c r="B2" s="32"/>
      <c r="C2" s="32"/>
      <c r="D2" s="32"/>
      <c r="E2" s="32"/>
      <c r="F2" s="32"/>
      <c r="G2" s="32"/>
      <c r="H2" s="32"/>
      <c r="I2" s="32"/>
      <c r="J2" s="32"/>
      <c r="K2" s="32"/>
      <c r="L2" s="32"/>
      <c r="M2" s="32"/>
      <c r="N2" s="32"/>
      <c r="O2" s="32"/>
    </row>
    <row r="3" spans="1:15" x14ac:dyDescent="0.3">
      <c r="A3" s="79" t="s">
        <v>95</v>
      </c>
      <c r="B3" s="80"/>
      <c r="C3" s="80"/>
      <c r="D3" s="80"/>
      <c r="E3" s="80"/>
      <c r="F3" s="80"/>
      <c r="G3" s="80"/>
      <c r="H3" s="80"/>
      <c r="I3" s="80"/>
      <c r="J3" s="80"/>
      <c r="K3" s="80"/>
      <c r="L3" s="80"/>
      <c r="M3" s="80"/>
      <c r="N3" s="80"/>
      <c r="O3" s="80"/>
    </row>
    <row r="4" spans="1:15" ht="8.1" customHeight="1" x14ac:dyDescent="0.3">
      <c r="A4" s="80"/>
      <c r="B4" s="80"/>
      <c r="C4" s="80"/>
      <c r="D4" s="80"/>
      <c r="E4" s="80"/>
      <c r="F4" s="80"/>
      <c r="G4" s="80"/>
      <c r="H4" s="80"/>
      <c r="I4" s="80"/>
      <c r="J4" s="80"/>
      <c r="K4" s="80"/>
      <c r="L4" s="80"/>
      <c r="M4" s="80"/>
      <c r="N4" s="80"/>
      <c r="O4" s="80"/>
    </row>
    <row r="5" spans="1:15" x14ac:dyDescent="0.3">
      <c r="A5" s="139" t="s">
        <v>96</v>
      </c>
      <c r="B5" s="139"/>
      <c r="C5" s="139"/>
      <c r="D5" s="139"/>
      <c r="E5" s="139"/>
      <c r="F5" s="139"/>
      <c r="G5" s="139"/>
      <c r="H5" s="139"/>
      <c r="I5" s="139"/>
      <c r="J5" s="139"/>
      <c r="K5" s="139"/>
      <c r="L5" s="139"/>
      <c r="M5" s="139"/>
      <c r="N5" s="139"/>
      <c r="O5" s="139"/>
    </row>
    <row r="6" spans="1:15" ht="8.1" customHeight="1" x14ac:dyDescent="0.3">
      <c r="A6" s="80"/>
      <c r="B6" s="80"/>
      <c r="C6" s="80"/>
      <c r="D6" s="80"/>
      <c r="E6" s="80"/>
      <c r="F6" s="80"/>
      <c r="G6" s="80"/>
      <c r="H6" s="80"/>
      <c r="I6" s="80"/>
      <c r="J6" s="80"/>
      <c r="K6" s="80"/>
      <c r="L6" s="80"/>
      <c r="M6" s="80"/>
      <c r="N6" s="80"/>
      <c r="O6" s="80"/>
    </row>
    <row r="7" spans="1:15" ht="57" customHeight="1" x14ac:dyDescent="0.3">
      <c r="A7" s="135" t="s">
        <v>97</v>
      </c>
      <c r="B7" s="135"/>
      <c r="C7" s="135"/>
      <c r="D7" s="135"/>
      <c r="E7" s="135"/>
      <c r="F7" s="135"/>
      <c r="G7" s="135"/>
      <c r="H7" s="135"/>
      <c r="I7" s="135"/>
      <c r="J7" s="135"/>
      <c r="K7" s="135"/>
      <c r="L7" s="135"/>
      <c r="M7" s="135"/>
      <c r="N7" s="135"/>
      <c r="O7" s="135"/>
    </row>
    <row r="8" spans="1:15" ht="8.1" customHeight="1" x14ac:dyDescent="0.3">
      <c r="A8" s="81"/>
      <c r="B8" s="80"/>
      <c r="C8" s="80"/>
      <c r="D8" s="80"/>
      <c r="E8" s="80"/>
      <c r="F8" s="80"/>
      <c r="G8" s="80"/>
      <c r="H8" s="80"/>
      <c r="I8" s="80"/>
      <c r="J8" s="80"/>
      <c r="K8" s="80"/>
      <c r="L8" s="80"/>
      <c r="M8" s="80"/>
      <c r="N8" s="80"/>
      <c r="O8" s="80"/>
    </row>
    <row r="9" spans="1:15" x14ac:dyDescent="0.3">
      <c r="A9" s="139" t="s">
        <v>98</v>
      </c>
      <c r="B9" s="139"/>
      <c r="C9" s="139"/>
      <c r="D9" s="139"/>
      <c r="E9" s="139"/>
      <c r="F9" s="139"/>
      <c r="G9" s="139"/>
      <c r="H9" s="139"/>
      <c r="I9" s="139"/>
      <c r="J9" s="139"/>
      <c r="K9" s="139"/>
      <c r="L9" s="139"/>
      <c r="M9" s="139"/>
      <c r="N9" s="139"/>
      <c r="O9" s="139"/>
    </row>
    <row r="10" spans="1:15" ht="8.1" customHeight="1" x14ac:dyDescent="0.3">
      <c r="A10" s="90"/>
      <c r="B10" s="80"/>
      <c r="C10" s="80"/>
      <c r="D10" s="80"/>
      <c r="E10" s="80"/>
      <c r="F10" s="80"/>
      <c r="G10" s="80"/>
      <c r="H10" s="80"/>
      <c r="I10" s="80"/>
      <c r="J10" s="80"/>
      <c r="K10" s="80"/>
      <c r="L10" s="80"/>
      <c r="M10" s="80"/>
      <c r="N10" s="80"/>
      <c r="O10" s="80"/>
    </row>
    <row r="11" spans="1:15" x14ac:dyDescent="0.3">
      <c r="A11" s="139" t="s">
        <v>99</v>
      </c>
      <c r="B11" s="139"/>
      <c r="C11" s="139"/>
      <c r="D11" s="139"/>
      <c r="E11" s="139"/>
      <c r="F11" s="139"/>
      <c r="G11" s="139"/>
      <c r="H11" s="139"/>
      <c r="I11" s="139"/>
      <c r="J11" s="139"/>
      <c r="K11" s="139"/>
      <c r="L11" s="139"/>
      <c r="M11" s="139"/>
      <c r="N11" s="139"/>
      <c r="O11" s="139"/>
    </row>
    <row r="12" spans="1:15" ht="8.1" customHeight="1" x14ac:dyDescent="0.3">
      <c r="A12" s="90"/>
      <c r="B12" s="80"/>
      <c r="C12" s="80"/>
      <c r="D12" s="80"/>
      <c r="E12" s="80"/>
      <c r="F12" s="80"/>
      <c r="G12" s="80"/>
      <c r="H12" s="80"/>
      <c r="I12" s="80"/>
      <c r="J12" s="80"/>
      <c r="K12" s="80"/>
      <c r="L12" s="80"/>
      <c r="M12" s="80"/>
      <c r="N12" s="80"/>
      <c r="O12" s="80"/>
    </row>
    <row r="13" spans="1:15" x14ac:dyDescent="0.3">
      <c r="A13" s="79" t="s">
        <v>100</v>
      </c>
      <c r="B13" s="80"/>
      <c r="C13" s="80"/>
      <c r="D13" s="80"/>
      <c r="E13" s="80"/>
      <c r="F13" s="80"/>
      <c r="G13" s="80"/>
      <c r="H13" s="80"/>
      <c r="I13" s="80"/>
      <c r="J13" s="80"/>
      <c r="K13" s="80"/>
      <c r="L13" s="80"/>
      <c r="M13" s="80"/>
      <c r="N13" s="80"/>
      <c r="O13" s="80"/>
    </row>
    <row r="14" spans="1:15" ht="8.1" customHeight="1" x14ac:dyDescent="0.3">
      <c r="A14" s="80"/>
      <c r="B14" s="80"/>
      <c r="C14" s="80"/>
      <c r="D14" s="80"/>
      <c r="E14" s="80"/>
      <c r="F14" s="80"/>
      <c r="G14" s="80"/>
      <c r="H14" s="80"/>
      <c r="I14" s="80"/>
      <c r="J14" s="80"/>
      <c r="K14" s="80"/>
      <c r="L14" s="80"/>
      <c r="M14" s="80"/>
      <c r="N14" s="80"/>
      <c r="O14" s="80"/>
    </row>
    <row r="15" spans="1:15" ht="43.5" customHeight="1" x14ac:dyDescent="0.3">
      <c r="A15" s="135" t="s">
        <v>101</v>
      </c>
      <c r="B15" s="135"/>
      <c r="C15" s="135"/>
      <c r="D15" s="135"/>
      <c r="E15" s="135"/>
      <c r="F15" s="135"/>
      <c r="G15" s="135"/>
      <c r="H15" s="135"/>
      <c r="I15" s="135"/>
      <c r="J15" s="135"/>
      <c r="K15" s="135"/>
      <c r="L15" s="135"/>
      <c r="M15" s="135"/>
      <c r="N15" s="135"/>
      <c r="O15" s="135"/>
    </row>
    <row r="16" spans="1:15" ht="8.1" customHeight="1" x14ac:dyDescent="0.3">
      <c r="A16" s="80"/>
      <c r="B16" s="80"/>
      <c r="C16" s="80"/>
      <c r="D16" s="80"/>
      <c r="E16" s="80"/>
      <c r="F16" s="80"/>
      <c r="G16" s="80"/>
      <c r="H16" s="80"/>
      <c r="I16" s="80"/>
      <c r="J16" s="80"/>
      <c r="K16" s="80"/>
      <c r="L16" s="80"/>
      <c r="M16" s="80"/>
      <c r="N16" s="80"/>
      <c r="O16" s="80"/>
    </row>
    <row r="17" spans="1:15" ht="44.25" customHeight="1" x14ac:dyDescent="0.3">
      <c r="A17" s="135" t="s">
        <v>102</v>
      </c>
      <c r="B17" s="135"/>
      <c r="C17" s="135"/>
      <c r="D17" s="135"/>
      <c r="E17" s="135"/>
      <c r="F17" s="135"/>
      <c r="G17" s="135"/>
      <c r="H17" s="135"/>
      <c r="I17" s="135"/>
      <c r="J17" s="135"/>
      <c r="K17" s="135"/>
      <c r="L17" s="135"/>
      <c r="M17" s="135"/>
      <c r="N17" s="135"/>
      <c r="O17" s="135"/>
    </row>
    <row r="18" spans="1:15" ht="8.1" customHeight="1" x14ac:dyDescent="0.3">
      <c r="A18" s="80"/>
      <c r="B18" s="80"/>
      <c r="C18" s="80"/>
      <c r="D18" s="80"/>
      <c r="E18" s="80"/>
      <c r="F18" s="80"/>
      <c r="G18" s="80"/>
      <c r="H18" s="80"/>
      <c r="I18" s="80"/>
      <c r="J18" s="80"/>
      <c r="K18" s="80"/>
      <c r="L18" s="80"/>
      <c r="M18" s="80"/>
      <c r="N18" s="80"/>
      <c r="O18" s="80"/>
    </row>
    <row r="19" spans="1:15" ht="41.1" customHeight="1" x14ac:dyDescent="0.3">
      <c r="A19" s="135" t="s">
        <v>103</v>
      </c>
      <c r="B19" s="135"/>
      <c r="C19" s="135"/>
      <c r="D19" s="135"/>
      <c r="E19" s="135"/>
      <c r="F19" s="135"/>
      <c r="G19" s="135"/>
      <c r="H19" s="135"/>
      <c r="I19" s="135"/>
      <c r="J19" s="135"/>
      <c r="K19" s="135"/>
      <c r="L19" s="135"/>
      <c r="M19" s="135"/>
      <c r="N19" s="135"/>
      <c r="O19" s="135"/>
    </row>
    <row r="20" spans="1:15" ht="8.1" customHeight="1" x14ac:dyDescent="0.3">
      <c r="A20" s="89"/>
      <c r="B20" s="89"/>
      <c r="C20" s="89"/>
      <c r="D20" s="89"/>
      <c r="E20" s="89"/>
      <c r="F20" s="89"/>
      <c r="G20" s="89"/>
      <c r="H20" s="89"/>
      <c r="I20" s="89"/>
      <c r="J20" s="89"/>
      <c r="K20" s="89"/>
      <c r="L20" s="89"/>
      <c r="M20" s="89"/>
      <c r="N20" s="89"/>
      <c r="O20" s="89"/>
    </row>
    <row r="21" spans="1:15" ht="42.75" customHeight="1" x14ac:dyDescent="0.3">
      <c r="A21" s="135" t="s">
        <v>104</v>
      </c>
      <c r="B21" s="135"/>
      <c r="C21" s="135"/>
      <c r="D21" s="135"/>
      <c r="E21" s="135"/>
      <c r="F21" s="135"/>
      <c r="G21" s="135"/>
      <c r="H21" s="135"/>
      <c r="I21" s="135"/>
      <c r="J21" s="135"/>
      <c r="K21" s="135"/>
      <c r="L21" s="135"/>
      <c r="M21" s="135"/>
      <c r="N21" s="135"/>
      <c r="O21" s="135"/>
    </row>
    <row r="22" spans="1:15" ht="8.1" customHeight="1" x14ac:dyDescent="0.3">
      <c r="A22" s="80"/>
      <c r="B22" s="80"/>
      <c r="C22" s="80"/>
      <c r="D22" s="80"/>
      <c r="E22" s="80"/>
      <c r="F22" s="80"/>
      <c r="G22" s="80"/>
      <c r="H22" s="80"/>
      <c r="I22" s="80"/>
      <c r="J22" s="80"/>
      <c r="K22" s="80"/>
      <c r="L22" s="80"/>
      <c r="M22" s="80"/>
      <c r="N22" s="80"/>
      <c r="O22" s="80"/>
    </row>
    <row r="23" spans="1:15" ht="31.2" customHeight="1" x14ac:dyDescent="0.3">
      <c r="A23" s="135" t="s">
        <v>105</v>
      </c>
      <c r="B23" s="135"/>
      <c r="C23" s="135"/>
      <c r="D23" s="135"/>
      <c r="E23" s="135"/>
      <c r="F23" s="135"/>
      <c r="G23" s="135"/>
      <c r="H23" s="135"/>
      <c r="I23" s="135"/>
      <c r="J23" s="135"/>
      <c r="K23" s="135"/>
      <c r="L23" s="135"/>
      <c r="M23" s="135"/>
      <c r="N23" s="135"/>
      <c r="O23" s="135"/>
    </row>
    <row r="24" spans="1:15" ht="8.1" customHeight="1" x14ac:dyDescent="0.3">
      <c r="A24" s="81"/>
      <c r="B24" s="80"/>
      <c r="C24" s="80"/>
      <c r="D24" s="80"/>
      <c r="E24" s="80"/>
      <c r="F24" s="80"/>
      <c r="G24" s="80"/>
      <c r="H24" s="80"/>
      <c r="I24" s="80"/>
      <c r="J24" s="80"/>
      <c r="K24" s="80"/>
      <c r="L24" s="80"/>
      <c r="M24" s="80"/>
      <c r="N24" s="80"/>
      <c r="O24" s="80"/>
    </row>
    <row r="25" spans="1:15" ht="41.7" customHeight="1" x14ac:dyDescent="0.3">
      <c r="A25" s="135" t="s">
        <v>106</v>
      </c>
      <c r="B25" s="135"/>
      <c r="C25" s="135"/>
      <c r="D25" s="135"/>
      <c r="E25" s="135"/>
      <c r="F25" s="135"/>
      <c r="G25" s="135"/>
      <c r="H25" s="135"/>
      <c r="I25" s="135"/>
      <c r="J25" s="135"/>
      <c r="K25" s="135"/>
      <c r="L25" s="135"/>
      <c r="M25" s="135"/>
      <c r="N25" s="135"/>
      <c r="O25" s="135"/>
    </row>
    <row r="26" spans="1:15" ht="10.199999999999999" customHeight="1" x14ac:dyDescent="0.3">
      <c r="A26" s="80"/>
      <c r="B26" s="80"/>
      <c r="C26" s="80"/>
      <c r="D26" s="80"/>
      <c r="E26" s="80"/>
      <c r="F26" s="80"/>
      <c r="G26" s="80"/>
      <c r="H26" s="80"/>
      <c r="I26" s="80"/>
      <c r="J26" s="80"/>
      <c r="K26" s="80"/>
      <c r="L26" s="80"/>
      <c r="M26" s="80"/>
      <c r="N26" s="80"/>
      <c r="O26" s="80"/>
    </row>
    <row r="27" spans="1:15" ht="56.25" customHeight="1" x14ac:dyDescent="0.3">
      <c r="A27" s="135" t="s">
        <v>107</v>
      </c>
      <c r="B27" s="135"/>
      <c r="C27" s="135"/>
      <c r="D27" s="135"/>
      <c r="E27" s="135"/>
      <c r="F27" s="135"/>
      <c r="G27" s="135"/>
      <c r="H27" s="135"/>
      <c r="I27" s="135"/>
      <c r="J27" s="135"/>
      <c r="K27" s="135"/>
      <c r="L27" s="135"/>
      <c r="M27" s="135"/>
      <c r="N27" s="135"/>
      <c r="O27" s="135"/>
    </row>
    <row r="30" spans="1:15" x14ac:dyDescent="0.3">
      <c r="A30" s="6"/>
    </row>
  </sheetData>
  <mergeCells count="12">
    <mergeCell ref="A27:O27"/>
    <mergeCell ref="A1:O1"/>
    <mergeCell ref="A5:O5"/>
    <mergeCell ref="A7:O7"/>
    <mergeCell ref="A9:O9"/>
    <mergeCell ref="A11:O11"/>
    <mergeCell ref="A15:O15"/>
    <mergeCell ref="A17:O17"/>
    <mergeCell ref="A19:O19"/>
    <mergeCell ref="A21:O21"/>
    <mergeCell ref="A23:O23"/>
    <mergeCell ref="A25:O25"/>
  </mergeCells>
  <pageMargins left="0.25" right="0.25" top="0.25" bottom="0.3" header="0.15" footer="0.15"/>
  <pageSetup orientation="landscape" r:id="rId1"/>
  <headerFooter>
    <oddFooter>&amp;Cx</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71e566c-8d66-4de2-ab45-25f4e9d539ae">
      <UserInfo>
        <DisplayName>Ly Nguyen, Doan H</DisplayName>
        <AccountId>82</AccountId>
        <AccountType/>
      </UserInfo>
      <UserInfo>
        <DisplayName>Pruitt, Derek L</DisplayName>
        <AccountId>12</AccountId>
        <AccountType/>
      </UserInfo>
    </SharedWithUsers>
    <lcf76f155ced4ddcb4097134ff3c332f xmlns="f3e7651c-e97a-495f-97e8-9023e8624885">
      <Terms xmlns="http://schemas.microsoft.com/office/infopath/2007/PartnerControls"/>
    </lcf76f155ced4ddcb4097134ff3c332f>
    <TaxCatchAll xmlns="a71e566c-8d66-4de2-ab45-25f4e9d539a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CFF4DD91B53E4B84B3ADE4E6664A91" ma:contentTypeVersion="17" ma:contentTypeDescription="Create a new document." ma:contentTypeScope="" ma:versionID="db72d48a1ef27747f13e282edca7ecda">
  <xsd:schema xmlns:xsd="http://www.w3.org/2001/XMLSchema" xmlns:xs="http://www.w3.org/2001/XMLSchema" xmlns:p="http://schemas.microsoft.com/office/2006/metadata/properties" xmlns:ns2="f3e7651c-e97a-495f-97e8-9023e8624885" xmlns:ns3="a71e566c-8d66-4de2-ab45-25f4e9d539ae" targetNamespace="http://schemas.microsoft.com/office/2006/metadata/properties" ma:root="true" ma:fieldsID="09ac28fbb2c0303227e19378e14c5c88" ns2:_="" ns3:_="">
    <xsd:import namespace="f3e7651c-e97a-495f-97e8-9023e8624885"/>
    <xsd:import namespace="a71e566c-8d66-4de2-ab45-25f4e9d539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e7651c-e97a-495f-97e8-9023e862488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8ad26c7-5542-4eee-b3ec-aeac87adbb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1e566c-8d66-4de2-ab45-25f4e9d539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59c225c-07f1-4270-bd62-6dc6081b2c91}" ma:internalName="TaxCatchAll" ma:showField="CatchAllData" ma:web="a71e566c-8d66-4de2-ab45-25f4e9d539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6D5913-9F12-46AE-A861-693468A2C2FF}">
  <ds:schemaRefs>
    <ds:schemaRef ds:uri="http://schemas.microsoft.com/sharepoint/v3/contenttype/forms"/>
  </ds:schemaRefs>
</ds:datastoreItem>
</file>

<file path=customXml/itemProps2.xml><?xml version="1.0" encoding="utf-8"?>
<ds:datastoreItem xmlns:ds="http://schemas.openxmlformats.org/officeDocument/2006/customXml" ds:itemID="{3FFE7656-F4BF-4818-90E8-40366784E37C}">
  <ds:schemaRefs>
    <ds:schemaRef ds:uri="http://schemas.microsoft.com/office/2006/metadata/properties"/>
    <ds:schemaRef ds:uri="http://schemas.microsoft.com/office/infopath/2007/PartnerControls"/>
    <ds:schemaRef ds:uri="a71e566c-8d66-4de2-ab45-25f4e9d539ae"/>
    <ds:schemaRef ds:uri="f3e7651c-e97a-495f-97e8-9023e8624885"/>
  </ds:schemaRefs>
</ds:datastoreItem>
</file>

<file path=customXml/itemProps3.xml><?xml version="1.0" encoding="utf-8"?>
<ds:datastoreItem xmlns:ds="http://schemas.openxmlformats.org/officeDocument/2006/customXml" ds:itemID="{5AB65AEA-826C-4723-A276-4EFA66532A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e7651c-e97a-495f-97e8-9023e8624885"/>
    <ds:schemaRef ds:uri="a71e566c-8d66-4de2-ab45-25f4e9d53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FORECAST COVER PAGE</vt:lpstr>
      <vt:lpstr>PUBLIC LAW 100-656</vt:lpstr>
      <vt:lpstr>TABLE OF CONTENTS</vt:lpstr>
      <vt:lpstr>INTRODUCTION-OSDBU MISSION</vt:lpstr>
      <vt:lpstr>OSDBU STAFF</vt:lpstr>
      <vt:lpstr>HOW TO MARKET TO HUD</vt:lpstr>
      <vt:lpstr>FORECAST OVERVIEW</vt:lpstr>
      <vt:lpstr>FORECAST CATEGORIES</vt:lpstr>
      <vt:lpstr>GLOSSARY</vt:lpstr>
      <vt:lpstr>PRODUCTS AND SERVICES</vt:lpstr>
      <vt:lpstr>ACQUISITION BY THRESHOLDS</vt:lpstr>
      <vt:lpstr>ACQUISITION BY NAICS CODE</vt:lpstr>
      <vt:lpstr>ACQUISITION BY TYPE</vt:lpstr>
      <vt:lpstr>'ACQUISITION BY NAICS CODE'!Print_Area</vt:lpstr>
      <vt:lpstr>'HOW TO MARKET TO HUD'!Print_Area</vt:lpstr>
      <vt:lpstr>'PRODUCTS AND SERVICES'!Print_Titles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Burrell (Ctr), Doretha</dc:creator>
  <cp:keywords/>
  <dc:description/>
  <cp:lastModifiedBy>Doan</cp:lastModifiedBy>
  <cp:revision/>
  <cp:lastPrinted>2023-09-25T18:33:01Z</cp:lastPrinted>
  <dcterms:created xsi:type="dcterms:W3CDTF">2018-06-11T18:59:53Z</dcterms:created>
  <dcterms:modified xsi:type="dcterms:W3CDTF">2023-09-25T18:35:33Z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0x0101006ACFF4DD91B53E4B84B3ADE4E6664A91</vt:lpwstr>
  </property>
  <property fmtid="{D5CDD505-2E9C-101B-9397-08002B2CF9AE}" pid="3" name="MediaServiceImageTags">
    <vt:lpwstr/>
  </property>
</Properties>
</file>