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ml.chartshapes+xml"/>
  <Override PartName="/xl/charts/chart10.xml" ContentType="application/vnd.openxmlformats-officedocument.drawingml.chart+xml"/>
  <Override PartName="/xl/charts/chart11.xml" ContentType="application/vnd.openxmlformats-officedocument.drawingml.chart+xml"/>
  <Override PartName="/xl/charts/style4.xml" ContentType="application/vnd.ms-office.chartstyle+xml"/>
  <Override PartName="/xl/charts/colors4.xml" ContentType="application/vnd.ms-office.chartcolorstyle+xml"/>
  <Override PartName="/xl/charts/chart12.xml" ContentType="application/vnd.openxmlformats-officedocument.drawingml.chart+xml"/>
  <Override PartName="/xl/charts/style5.xml" ContentType="application/vnd.ms-office.chartstyle+xml"/>
  <Override PartName="/xl/charts/colors5.xml" ContentType="application/vnd.ms-office.chartcolorstyle+xml"/>
  <Override PartName="/xl/charts/chart13.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8.xml" ContentType="application/vnd.openxmlformats-officedocument.drawing+xml"/>
  <Override PartName="/xl/charts/chart23.xml" ContentType="application/vnd.openxmlformats-officedocument.drawingml.chart+xml"/>
  <Override PartName="/xl/charts/style7.xml" ContentType="application/vnd.ms-office.chartstyle+xml"/>
  <Override PartName="/xl/charts/colors7.xml" ContentType="application/vnd.ms-office.chartcolorstyle+xml"/>
  <Override PartName="/xl/charts/chart24.xml" ContentType="application/vnd.openxmlformats-officedocument.drawingml.chart+xml"/>
  <Override PartName="/xl/charts/style8.xml" ContentType="application/vnd.ms-office.chartstyle+xml"/>
  <Override PartName="/xl/charts/colors8.xml" ContentType="application/vnd.ms-office.chartcolorstyle+xml"/>
  <Override PartName="/xl/charts/chart25.xml" ContentType="application/vnd.openxmlformats-officedocument.drawingml.chart+xml"/>
  <Override PartName="/xl/charts/style9.xml" ContentType="application/vnd.ms-office.chartstyle+xml"/>
  <Override PartName="/xl/charts/colors9.xml" ContentType="application/vnd.ms-office.chartcolorstyle+xml"/>
  <Override PartName="/xl/charts/chart26.xml" ContentType="application/vnd.openxmlformats-officedocument.drawingml.chart+xml"/>
  <Override PartName="/xl/charts/style10.xml" ContentType="application/vnd.ms-office.chartstyle+xml"/>
  <Override PartName="/xl/charts/colors10.xml" ContentType="application/vnd.ms-office.chartcolorstyle+xml"/>
  <Override PartName="/xl/charts/chart27.xml" ContentType="application/vnd.openxmlformats-officedocument.drawingml.chart+xml"/>
  <Override PartName="/xl/charts/style11.xml" ContentType="application/vnd.ms-office.chartstyle+xml"/>
  <Override PartName="/xl/charts/colors11.xml" ContentType="application/vnd.ms-office.chartcolorstyle+xml"/>
  <Override PartName="/xl/charts/chart28.xml" ContentType="application/vnd.openxmlformats-officedocument.drawingml.chart+xml"/>
  <Override PartName="/xl/charts/style12.xml" ContentType="application/vnd.ms-office.chartstyle+xml"/>
  <Override PartName="/xl/charts/colors12.xml" ContentType="application/vnd.ms-office.chartcolorstyle+xml"/>
  <Override PartName="/xl/charts/chart29.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9.xml" ContentType="application/vnd.openxmlformats-officedocument.drawing+xml"/>
  <Override PartName="/xl/charts/chart30.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7" rupBuild="18625"/>
  <workbookPr showInkAnnotation="0" codeName="ThisWorkbook" defaultThemeVersion="124226"/>
  <mc:AlternateContent xmlns:mc="http://schemas.openxmlformats.org/markup-compatibility/2006">
    <mc:Choice Requires="x15">
      <x15ac:absPath xmlns:x15ac="http://schemas.microsoft.com/office/spreadsheetml/2010/11/ac" url="C:\Users\H51077\Desktop\"/>
    </mc:Choice>
  </mc:AlternateContent>
  <bookViews>
    <workbookView xWindow="0" yWindow="0" windowWidth="20370" windowHeight="9135" tabRatio="732" xr2:uid="{F62E4501-4871-4A4B-BA49-EB239E0B7FF8}"/>
  </bookViews>
  <sheets>
    <sheet name="Instructions" sheetId="7" r:id="rId1"/>
    <sheet name="eTool Data" sheetId="8" r:id="rId2"/>
    <sheet name="Pass Fail Status" sheetId="11" r:id="rId3"/>
    <sheet name="eTool Data Analysis" sheetId="9" r:id="rId4"/>
    <sheet name="Trial Deposits Analysis" sheetId="10" r:id="rId5"/>
    <sheet name="Attachment-RfR Commt Lttr" sheetId="6" r:id="rId6"/>
    <sheet name="Graphed Results Trial Deposits" sheetId="3" r:id="rId7"/>
    <sheet name="Trial Dep. Projections Sumry" sheetId="4" r:id="rId8"/>
    <sheet name="Year 11+ Risk Analysis" sheetId="12" r:id="rId9"/>
    <sheet name="DSC Analysis" sheetId="13" r:id="rId10"/>
    <sheet name="eTool Data Engine" sheetId="15" r:id="rId11"/>
    <sheet name="Trial Deposits Engine" sheetId="1" r:id="rId12"/>
    <sheet name="Extra Worksheet" sheetId="14" r:id="rId13"/>
  </sheets>
  <externalReferences>
    <externalReference r:id="rId14"/>
  </externalReferences>
  <definedNames>
    <definedName name="Additional_eTool_data">'eTool Data Analysis'!$B$105:$H$131</definedName>
    <definedName name="Additional_eTool_vs._Trial_Dep_Anal">'Trial Deposits Analysis'!$B$103:$P$130</definedName>
    <definedName name="Data_Entry__PROPERTY_INFORMATION">'eTool Data Analysis'!$C$2</definedName>
    <definedName name="e_Tool_data_RY_11__Violations">'eTool Data Analysis'!$I$67:$I$79</definedName>
    <definedName name="eTool_data_Amort._Test_violations" localSheetId="3">'eTool Data Analysis'!$I$82:$I$95</definedName>
    <definedName name="eTool_data_Amort._Test_violations" localSheetId="2">#REF!</definedName>
    <definedName name="eTool_data_Amort._Test_violations" localSheetId="4">'Trial Deposits Analysis'!$U$79:$U$92</definedName>
    <definedName name="eTool_data_Amort._Test_violations">#REF!</definedName>
    <definedName name="eTool_data_Req.Min._Bal._violations__Yr_1_10" localSheetId="3">'eTool Data Analysis'!$I$50:$I$63</definedName>
    <definedName name="eTool_data_Req.Min._Bal._violations__Yr_1_10" localSheetId="2">#REF!</definedName>
    <definedName name="eTool_data_Req.Min._Bal._violations__Yr_1_10" localSheetId="4">'Trial Deposits Analysis'!$U$47:$U$60</definedName>
    <definedName name="eTool_data_Req.Min._Bal._violations__Yr_1_10">#REF!</definedName>
    <definedName name="eTool_data_Req.Min._Bal._violations__Yr_11" localSheetId="3">'eTool Data Analysis'!$I$66:$I$79</definedName>
    <definedName name="eTool_data_Req.Min._Bal._violations__Yr_11" localSheetId="2">#REF!</definedName>
    <definedName name="eTool_data_Req.Min._Bal._violations__Yr_11">#REF!</definedName>
    <definedName name="Factor_input_structuring_results">'Trial Deposits Engine'!$H$30</definedName>
    <definedName name="Graphs">'Trial Deposits Engine'!$B$154</definedName>
    <definedName name="Minimums_Analysis">'Trial Deposits Engine'!$A$121</definedName>
    <definedName name="MORTGAGE_TERMS___AMORTIZATION_TEST_PERCENTAGE" localSheetId="3">'eTool Data Analysis'!$C$20:$G$30</definedName>
    <definedName name="MORTGAGE_TERMS___AMORTIZATION_TEST_PERCENTAGE" localSheetId="2">#REF!</definedName>
    <definedName name="MORTGAGE_TERMS___AMORTIZATION_TEST_PERCENTAGE" localSheetId="4">'Trial Deposits Analysis'!#REF!</definedName>
    <definedName name="MORTGAGE_TERMS___AMORTIZATION_TEST_PERCENTAGE">#REF!</definedName>
    <definedName name="_xlnm.Print_Area" localSheetId="5">'Attachment-RfR Commt Lttr'!$B$2:$J$45</definedName>
    <definedName name="_xlnm.Print_Area" localSheetId="3">'eTool Data Analysis'!$A$1:$K$42</definedName>
    <definedName name="_xlnm.Print_Area" localSheetId="6">'Graphed Results Trial Deposits'!$B$2:$Q$81</definedName>
    <definedName name="_xlnm.Print_Area" localSheetId="0">Instructions!$A$1:$F$32</definedName>
    <definedName name="_xlnm.Print_Area" localSheetId="7">'Trial Dep. Projections Sumry'!$B$2:$AC$26</definedName>
    <definedName name="_xlnm.Print_Area" localSheetId="4">'Trial Deposits Analysis'!$A$1:$K$43</definedName>
    <definedName name="_xlnm.Print_Area" localSheetId="11">'Trial Deposits Engine'!$B$2:$AB$127</definedName>
    <definedName name="_xlnm.Print_Titles" localSheetId="7">'Trial Dep. Projections Sumry'!$B:$H</definedName>
    <definedName name="_xlnm.Print_Titles" localSheetId="11">'Trial Deposits Engine'!$B:$G</definedName>
    <definedName name="Trail_dep_Req.Min._Bal._violations__Yr_11" localSheetId="4">'Trial Deposits Analysis'!$I$63:$I$76</definedName>
    <definedName name="Trial_Dep_RMB_RY11_violations">'Trial Deposits Analysis'!$I$63:$I$76</definedName>
    <definedName name="Uninflated_Needs_iinput">'Trial Deposits Engine'!$B$73</definedName>
    <definedName name="User_Input_Choice" localSheetId="3">'eTool Data Analysis'!#REF!</definedName>
    <definedName name="User_Input_Choice" localSheetId="2">#REF!</definedName>
    <definedName name="User_Input_Choice" localSheetId="4">'Trial Deposits Analysis'!#REF!</definedName>
    <definedName name="User_Input_Choice">#REF!</definedName>
    <definedName name="User_inputs_that_affect_RfR_balances.____All_other_assumptions_do_not_change" localSheetId="3">'eTool Data Analysis'!#REF!</definedName>
    <definedName name="User_inputs_that_affect_RfR_balances.____All_other_assumptions_do_not_change" localSheetId="2">#REF!</definedName>
    <definedName name="User_inputs_that_affect_RfR_balances.____All_other_assumptions_do_not_change" localSheetId="4">'Trial Deposits Analysis'!#REF!</definedName>
    <definedName name="User_inputs_that_affect_RfR_balances.____All_other_assumptions_do_not_change">#REF!</definedName>
    <definedName name="User_lnput_Amort._Test_violations" localSheetId="4">'Trial Deposits Analysis'!$I$79:$I$92</definedName>
    <definedName name="User_lnput_Amort._Test_violations">'Trial Deposits Analysis'!HY$79:$I$92</definedName>
    <definedName name="User_Trial_Input_Req.Min._Bal._violations__Yr_1_10" localSheetId="4">'Trial Deposits Analysis'!$I$47:$I$61</definedName>
    <definedName name="User_Trial_Input_Req.Min._Bal._violations__Yr_1_10">'Trial Deposits Analysis'!$I$47:$I$60</definedName>
    <definedName name="YES_NO">'Trial Deposits Engine'!$S$3:$S$4</definedName>
    <definedName name="Yr_1_to_10_eTool_data_status">'eTool Data Analysis'!$B$7:$J$10</definedName>
    <definedName name="Yr_11_eTool_data_status">'eTool Data Analysis'!$B$11:$J$18</definedName>
  </definedNames>
  <calcPr calcId="171026"/>
  <fileRecoveryPr autoRecover="0"/>
</workbook>
</file>

<file path=xl/calcChain.xml><?xml version="1.0" encoding="utf-8"?>
<calcChain xmlns="http://schemas.openxmlformats.org/spreadsheetml/2006/main">
  <c r="M2" i="10" l="1"/>
  <c r="F1" i="8" l="1"/>
  <c r="Y14" i="8"/>
  <c r="X14" i="8"/>
  <c r="W14" i="8"/>
  <c r="V14" i="8"/>
  <c r="U14" i="8"/>
  <c r="T14" i="8"/>
  <c r="S14" i="8"/>
  <c r="R14" i="8"/>
  <c r="Q14" i="8"/>
  <c r="P14" i="8"/>
  <c r="O14" i="8"/>
  <c r="N14" i="8"/>
  <c r="M14" i="8"/>
  <c r="L14" i="8"/>
  <c r="K14" i="8"/>
  <c r="J14" i="8"/>
  <c r="I14" i="8"/>
  <c r="H14" i="8"/>
  <c r="G14" i="8"/>
  <c r="F14" i="8"/>
  <c r="E14" i="8"/>
  <c r="Y13" i="8"/>
  <c r="X13" i="8"/>
  <c r="W13" i="8"/>
  <c r="V13" i="8"/>
  <c r="U13" i="8"/>
  <c r="T13" i="8"/>
  <c r="S13" i="8"/>
  <c r="R13" i="8"/>
  <c r="Q13" i="8"/>
  <c r="P13" i="8"/>
  <c r="O13" i="8"/>
  <c r="N13" i="8"/>
  <c r="M13" i="8"/>
  <c r="L13" i="8"/>
  <c r="K13" i="8"/>
  <c r="J13" i="8"/>
  <c r="I13" i="8"/>
  <c r="H13" i="8"/>
  <c r="G13" i="8"/>
  <c r="F13" i="8"/>
  <c r="E13" i="8"/>
  <c r="Y12" i="8"/>
  <c r="X12" i="8"/>
  <c r="W12" i="8"/>
  <c r="V12" i="8"/>
  <c r="U12" i="8"/>
  <c r="T12" i="8"/>
  <c r="S12" i="8"/>
  <c r="R12" i="8"/>
  <c r="Q12" i="8"/>
  <c r="P12" i="8"/>
  <c r="O12" i="8"/>
  <c r="N12" i="8"/>
  <c r="M12" i="8"/>
  <c r="L12" i="8"/>
  <c r="K12" i="8"/>
  <c r="J12" i="8"/>
  <c r="I12" i="8"/>
  <c r="H12" i="8"/>
  <c r="G12" i="8"/>
  <c r="F12" i="8"/>
  <c r="E12" i="8"/>
  <c r="Y11" i="8"/>
  <c r="X11" i="8"/>
  <c r="W11" i="8"/>
  <c r="V11" i="8"/>
  <c r="U11" i="8"/>
  <c r="T11" i="8"/>
  <c r="S11" i="8"/>
  <c r="R11" i="8"/>
  <c r="Q11" i="8"/>
  <c r="P11" i="8"/>
  <c r="O11" i="8"/>
  <c r="N11" i="8"/>
  <c r="M11" i="8"/>
  <c r="L11" i="8"/>
  <c r="K11" i="8"/>
  <c r="J11" i="8"/>
  <c r="I11" i="8"/>
  <c r="H11" i="8"/>
  <c r="G11" i="8"/>
  <c r="F11" i="8"/>
  <c r="E11" i="8"/>
  <c r="Y10" i="8"/>
  <c r="X10" i="8"/>
  <c r="W10" i="8"/>
  <c r="V10" i="8"/>
  <c r="U10" i="8"/>
  <c r="T10" i="8"/>
  <c r="S10" i="8"/>
  <c r="R10" i="8"/>
  <c r="Q10" i="8"/>
  <c r="P10" i="8"/>
  <c r="O10" i="8"/>
  <c r="N10" i="8"/>
  <c r="M10" i="8"/>
  <c r="L10" i="8"/>
  <c r="K10" i="8"/>
  <c r="J10" i="8"/>
  <c r="I10" i="8"/>
  <c r="H10" i="8"/>
  <c r="G10" i="8"/>
  <c r="F10" i="8"/>
  <c r="E10" i="8"/>
  <c r="Y9" i="8"/>
  <c r="X9" i="8"/>
  <c r="W9" i="8"/>
  <c r="V9" i="8"/>
  <c r="U9" i="8"/>
  <c r="T9" i="8"/>
  <c r="S9" i="8"/>
  <c r="R9" i="8"/>
  <c r="Q9" i="8"/>
  <c r="P9" i="8"/>
  <c r="O9" i="8"/>
  <c r="N9" i="8"/>
  <c r="M9" i="8"/>
  <c r="L9" i="8"/>
  <c r="K9" i="8"/>
  <c r="J9" i="8"/>
  <c r="I9" i="8"/>
  <c r="H9" i="8"/>
  <c r="G9" i="8"/>
  <c r="F9" i="8"/>
  <c r="E9" i="8"/>
  <c r="Y8" i="8"/>
  <c r="X8" i="8"/>
  <c r="W8" i="8"/>
  <c r="V8" i="8"/>
  <c r="U8" i="8"/>
  <c r="T8" i="8"/>
  <c r="S8" i="8"/>
  <c r="R8" i="8"/>
  <c r="Q8" i="8"/>
  <c r="P8" i="8"/>
  <c r="O8" i="8"/>
  <c r="N8" i="8"/>
  <c r="M8" i="8"/>
  <c r="L8" i="8"/>
  <c r="K8" i="8"/>
  <c r="J8" i="8"/>
  <c r="I8" i="8"/>
  <c r="H8" i="8"/>
  <c r="G8" i="8"/>
  <c r="F8" i="8"/>
  <c r="E8" i="8"/>
  <c r="Y7" i="8"/>
  <c r="X7" i="8"/>
  <c r="W7" i="8"/>
  <c r="V7" i="8"/>
  <c r="U7" i="8"/>
  <c r="T7" i="8"/>
  <c r="S7" i="8"/>
  <c r="R7" i="8"/>
  <c r="Q7" i="8"/>
  <c r="P7" i="8"/>
  <c r="O7" i="8"/>
  <c r="N7" i="8"/>
  <c r="M7" i="8"/>
  <c r="L7" i="8"/>
  <c r="K7" i="8"/>
  <c r="J7" i="8"/>
  <c r="I7" i="8"/>
  <c r="H7" i="8"/>
  <c r="G7" i="8"/>
  <c r="F7" i="8"/>
  <c r="E7" i="8"/>
  <c r="Y6" i="8"/>
  <c r="X6" i="8"/>
  <c r="W6" i="8"/>
  <c r="V6" i="8"/>
  <c r="U6" i="8"/>
  <c r="T6" i="8"/>
  <c r="S6" i="8"/>
  <c r="R6" i="8"/>
  <c r="Q6" i="8"/>
  <c r="P6" i="8"/>
  <c r="O6" i="8"/>
  <c r="N6" i="8"/>
  <c r="M6" i="8"/>
  <c r="L6" i="8"/>
  <c r="K6" i="8"/>
  <c r="J6" i="8"/>
  <c r="I6" i="8"/>
  <c r="H6" i="8"/>
  <c r="G6" i="8"/>
  <c r="F6" i="8"/>
  <c r="E6" i="8"/>
  <c r="Y5" i="8"/>
  <c r="X5" i="8"/>
  <c r="W5" i="8"/>
  <c r="V5" i="8"/>
  <c r="U5" i="8"/>
  <c r="T5" i="8"/>
  <c r="S5" i="8"/>
  <c r="R5" i="8"/>
  <c r="Q5" i="8"/>
  <c r="P5" i="8"/>
  <c r="O5" i="8"/>
  <c r="N5" i="8"/>
  <c r="M5" i="8"/>
  <c r="L5" i="8"/>
  <c r="K5" i="8"/>
  <c r="J5" i="8"/>
  <c r="I5" i="8"/>
  <c r="H5" i="8"/>
  <c r="G5" i="8"/>
  <c r="F5" i="8"/>
  <c r="E5" i="8"/>
  <c r="Y4" i="8"/>
  <c r="X4" i="8"/>
  <c r="W4" i="8"/>
  <c r="V4" i="8"/>
  <c r="U4" i="8"/>
  <c r="T4" i="8"/>
  <c r="S4" i="8"/>
  <c r="R4" i="8"/>
  <c r="Q4" i="8"/>
  <c r="P4" i="8"/>
  <c r="O4" i="8"/>
  <c r="N4" i="8"/>
  <c r="M4" i="8"/>
  <c r="L4" i="8"/>
  <c r="K4" i="8"/>
  <c r="J4" i="8"/>
  <c r="I4" i="8"/>
  <c r="H4" i="8"/>
  <c r="G4" i="8"/>
  <c r="F4" i="8"/>
  <c r="E4" i="8"/>
  <c r="Y3" i="8"/>
  <c r="X3" i="8"/>
  <c r="W3" i="8"/>
  <c r="V3" i="8"/>
  <c r="U3" i="8"/>
  <c r="T3" i="8"/>
  <c r="S3" i="8"/>
  <c r="R3" i="8"/>
  <c r="Q3" i="8"/>
  <c r="P3" i="8"/>
  <c r="O3" i="8"/>
  <c r="N3" i="8"/>
  <c r="M3" i="8"/>
  <c r="L3" i="8"/>
  <c r="K3" i="8"/>
  <c r="J3" i="8"/>
  <c r="I3" i="8"/>
  <c r="H3" i="8"/>
  <c r="G3" i="8"/>
  <c r="F3" i="8"/>
  <c r="E3" i="8"/>
  <c r="Y2" i="8"/>
  <c r="X2" i="8"/>
  <c r="W2" i="8"/>
  <c r="V2" i="8"/>
  <c r="U2" i="8"/>
  <c r="T2" i="8"/>
  <c r="S2" i="8"/>
  <c r="R2" i="8"/>
  <c r="Q2" i="8"/>
  <c r="P2" i="8"/>
  <c r="O2" i="8"/>
  <c r="N2" i="8"/>
  <c r="M2" i="8"/>
  <c r="L2" i="8"/>
  <c r="K2" i="8"/>
  <c r="J2" i="8"/>
  <c r="I2" i="8"/>
  <c r="H2" i="8"/>
  <c r="G2" i="8"/>
  <c r="F2" i="8"/>
  <c r="E2" i="8"/>
  <c r="K1" i="8"/>
  <c r="J1" i="8"/>
  <c r="I1" i="8"/>
  <c r="H1" i="8"/>
  <c r="G1" i="8"/>
  <c r="E1" i="8"/>
  <c r="C31" i="11"/>
  <c r="B29" i="9" l="1"/>
  <c r="E47" i="15"/>
  <c r="E43" i="15"/>
  <c r="R28" i="15"/>
  <c r="J28" i="15"/>
  <c r="C18" i="15"/>
  <c r="C16" i="15"/>
  <c r="C15" i="15"/>
  <c r="C14" i="15"/>
  <c r="C22" i="15"/>
  <c r="W39" i="15"/>
  <c r="V39" i="15"/>
  <c r="R39" i="15"/>
  <c r="O39" i="15"/>
  <c r="N39" i="15"/>
  <c r="J39" i="15"/>
  <c r="G38" i="15"/>
  <c r="E37" i="15"/>
  <c r="W33" i="15"/>
  <c r="U33" i="15"/>
  <c r="S33" i="15"/>
  <c r="R33" i="15"/>
  <c r="O33" i="15"/>
  <c r="M33" i="15"/>
  <c r="K33" i="15"/>
  <c r="J33" i="15"/>
  <c r="W28" i="15"/>
  <c r="V28" i="15"/>
  <c r="S28" i="15"/>
  <c r="O28" i="15"/>
  <c r="N28" i="15"/>
  <c r="K28" i="15"/>
  <c r="G28" i="15"/>
  <c r="E26" i="15"/>
  <c r="Y18" i="15"/>
  <c r="X18" i="15"/>
  <c r="W18" i="15"/>
  <c r="V18" i="15"/>
  <c r="U18" i="15"/>
  <c r="T18" i="15"/>
  <c r="S18" i="15"/>
  <c r="S47" i="15" s="1"/>
  <c r="R18" i="15"/>
  <c r="Q18" i="15"/>
  <c r="P18" i="15"/>
  <c r="O18" i="15"/>
  <c r="N18" i="15"/>
  <c r="M18" i="15"/>
  <c r="L18" i="15"/>
  <c r="K18" i="15"/>
  <c r="J18" i="15"/>
  <c r="I18" i="15"/>
  <c r="H18" i="15"/>
  <c r="G18" i="15"/>
  <c r="F18" i="15"/>
  <c r="Y17" i="15"/>
  <c r="X17" i="15"/>
  <c r="W17" i="15"/>
  <c r="V17" i="15"/>
  <c r="U17" i="15"/>
  <c r="T17" i="15"/>
  <c r="S17" i="15"/>
  <c r="R17" i="15"/>
  <c r="Q17" i="15"/>
  <c r="P17" i="15"/>
  <c r="O17" i="15"/>
  <c r="N17" i="15"/>
  <c r="M17" i="15"/>
  <c r="L17" i="15"/>
  <c r="K17" i="15"/>
  <c r="J17" i="15"/>
  <c r="I17" i="15"/>
  <c r="H17" i="15"/>
  <c r="G17" i="15"/>
  <c r="F17" i="15"/>
  <c r="Y54" i="15"/>
  <c r="X54" i="15"/>
  <c r="W54" i="15"/>
  <c r="V54" i="15"/>
  <c r="U54" i="15"/>
  <c r="T54" i="15"/>
  <c r="S54" i="15"/>
  <c r="R54" i="15"/>
  <c r="Q54" i="15"/>
  <c r="P54" i="15"/>
  <c r="O54" i="15"/>
  <c r="N54" i="15"/>
  <c r="M54" i="15"/>
  <c r="L54" i="15"/>
  <c r="K54" i="15"/>
  <c r="J54" i="15"/>
  <c r="I54" i="15"/>
  <c r="H54" i="15"/>
  <c r="G54" i="15"/>
  <c r="F54" i="15"/>
  <c r="E54" i="15"/>
  <c r="C21" i="15"/>
  <c r="W9" i="15"/>
  <c r="W10" i="15" s="1"/>
  <c r="U9" i="15"/>
  <c r="U10" i="15" s="1"/>
  <c r="O9" i="15"/>
  <c r="O10" i="15" s="1"/>
  <c r="N9" i="15"/>
  <c r="N10" i="15" s="1"/>
  <c r="M9" i="15"/>
  <c r="M10" i="15" s="1"/>
  <c r="G9" i="15"/>
  <c r="G10" i="15" s="1"/>
  <c r="F9" i="15"/>
  <c r="F10" i="15" s="1"/>
  <c r="Y55" i="15"/>
  <c r="X55" i="15"/>
  <c r="W55" i="15"/>
  <c r="V55" i="15"/>
  <c r="U55" i="15"/>
  <c r="T55" i="15"/>
  <c r="S55" i="15"/>
  <c r="R8" i="15"/>
  <c r="R43" i="15" s="1"/>
  <c r="Q55" i="15"/>
  <c r="P55" i="15"/>
  <c r="O55" i="15"/>
  <c r="N55" i="15"/>
  <c r="M55" i="15"/>
  <c r="L55" i="15"/>
  <c r="K55" i="15"/>
  <c r="J8" i="15"/>
  <c r="J43" i="15" s="1"/>
  <c r="I55" i="15"/>
  <c r="H55" i="15"/>
  <c r="G55" i="15"/>
  <c r="F55" i="15"/>
  <c r="M19" i="15" l="1"/>
  <c r="M24" i="15" s="1"/>
  <c r="L28" i="15"/>
  <c r="I33" i="15"/>
  <c r="Q33" i="15"/>
  <c r="Y33" i="15"/>
  <c r="L39" i="15"/>
  <c r="T39" i="15"/>
  <c r="M39" i="15"/>
  <c r="U39" i="15"/>
  <c r="S8" i="15"/>
  <c r="S43" i="15" s="1"/>
  <c r="F39" i="15"/>
  <c r="U19" i="15"/>
  <c r="T28" i="15"/>
  <c r="H28" i="15"/>
  <c r="P28" i="15"/>
  <c r="F29" i="15" s="1"/>
  <c r="X28" i="15"/>
  <c r="L33" i="15"/>
  <c r="T33" i="15"/>
  <c r="J55" i="15"/>
  <c r="J9" i="15"/>
  <c r="J10" i="15" s="1"/>
  <c r="S9" i="15"/>
  <c r="S10" i="15" s="1"/>
  <c r="Y28" i="15"/>
  <c r="P39" i="15"/>
  <c r="X39" i="15"/>
  <c r="R55" i="15"/>
  <c r="R9" i="15"/>
  <c r="R10" i="15" s="1"/>
  <c r="K9" i="15"/>
  <c r="I28" i="15"/>
  <c r="Q28" i="15"/>
  <c r="H39" i="15"/>
  <c r="L9" i="15"/>
  <c r="L10" i="15" s="1"/>
  <c r="T9" i="15"/>
  <c r="T10" i="15" s="1"/>
  <c r="C23" i="15"/>
  <c r="Q16" i="15" s="1"/>
  <c r="N33" i="15"/>
  <c r="V33" i="15"/>
  <c r="I39" i="15"/>
  <c r="Q39" i="15"/>
  <c r="Y39" i="15"/>
  <c r="K22" i="15"/>
  <c r="K23" i="15" s="1"/>
  <c r="K19" i="15"/>
  <c r="K24" i="15" s="1"/>
  <c r="F16" i="15"/>
  <c r="F47" i="15"/>
  <c r="F56" i="15"/>
  <c r="V56" i="15"/>
  <c r="V47" i="15"/>
  <c r="U13" i="15"/>
  <c r="M13" i="15"/>
  <c r="W12" i="15"/>
  <c r="G12" i="15"/>
  <c r="G47" i="15"/>
  <c r="G56" i="15"/>
  <c r="W47" i="15"/>
  <c r="W56" i="15"/>
  <c r="E15" i="15"/>
  <c r="E44" i="15" s="1"/>
  <c r="H47" i="15"/>
  <c r="H56" i="15"/>
  <c r="H16" i="15"/>
  <c r="X47" i="15"/>
  <c r="X56" i="15"/>
  <c r="V9" i="15"/>
  <c r="V10" i="15" s="1"/>
  <c r="N19" i="15"/>
  <c r="N24" i="15" s="1"/>
  <c r="N22" i="15"/>
  <c r="N23" i="15" s="1"/>
  <c r="Q47" i="15"/>
  <c r="Q56" i="15"/>
  <c r="K10" i="15"/>
  <c r="K13" i="15" s="1"/>
  <c r="J22" i="15"/>
  <c r="J23" i="15" s="1"/>
  <c r="J19" i="15"/>
  <c r="J24" i="15" s="1"/>
  <c r="S22" i="15"/>
  <c r="S23" i="15" s="1"/>
  <c r="S19" i="15"/>
  <c r="N16" i="15"/>
  <c r="N56" i="15"/>
  <c r="N47" i="15"/>
  <c r="R22" i="15"/>
  <c r="R23" i="15" s="1"/>
  <c r="R19" i="15"/>
  <c r="L22" i="15"/>
  <c r="L23" i="15" s="1"/>
  <c r="L19" i="15"/>
  <c r="L24" i="15" s="1"/>
  <c r="T22" i="15"/>
  <c r="T23" i="15" s="1"/>
  <c r="T19" i="15"/>
  <c r="O47" i="15"/>
  <c r="O56" i="15"/>
  <c r="U24" i="15"/>
  <c r="P47" i="15"/>
  <c r="P56" i="15"/>
  <c r="P16" i="15"/>
  <c r="G13" i="15"/>
  <c r="M56" i="15"/>
  <c r="M16" i="15"/>
  <c r="M47" i="15"/>
  <c r="M22" i="15"/>
  <c r="M23" i="15" s="1"/>
  <c r="F23" i="15"/>
  <c r="F19" i="15"/>
  <c r="F24" i="15" s="1"/>
  <c r="F22" i="15"/>
  <c r="V19" i="15"/>
  <c r="V22" i="15"/>
  <c r="V23" i="15" s="1"/>
  <c r="I47" i="15"/>
  <c r="I56" i="15"/>
  <c r="I16" i="15"/>
  <c r="Y47" i="15"/>
  <c r="Y56" i="15"/>
  <c r="Y16" i="15"/>
  <c r="F34" i="15"/>
  <c r="F33" i="15"/>
  <c r="G32" i="15"/>
  <c r="O13" i="15"/>
  <c r="U56" i="15"/>
  <c r="U16" i="15"/>
  <c r="U47" i="15"/>
  <c r="U22" i="15"/>
  <c r="U23" i="15" s="1"/>
  <c r="G23" i="15"/>
  <c r="G19" i="15"/>
  <c r="G24" i="15" s="1"/>
  <c r="G22" i="15"/>
  <c r="O19" i="15"/>
  <c r="O24" i="15" s="1"/>
  <c r="O22" i="15"/>
  <c r="O23" i="15" s="1"/>
  <c r="W19" i="15"/>
  <c r="W22" i="15"/>
  <c r="W23" i="15" s="1"/>
  <c r="J47" i="15"/>
  <c r="J56" i="15"/>
  <c r="J16" i="15"/>
  <c r="R47" i="15"/>
  <c r="R56" i="15"/>
  <c r="R16" i="15"/>
  <c r="M28" i="15"/>
  <c r="U28" i="15"/>
  <c r="H33" i="15"/>
  <c r="P33" i="15"/>
  <c r="X33" i="15"/>
  <c r="K39" i="15"/>
  <c r="S39" i="15"/>
  <c r="W13" i="15"/>
  <c r="G16" i="15"/>
  <c r="I19" i="15"/>
  <c r="I24" i="15" s="1"/>
  <c r="H9" i="15"/>
  <c r="H10" i="15" s="1"/>
  <c r="P9" i="15"/>
  <c r="P10" i="15" s="1"/>
  <c r="X9" i="15"/>
  <c r="X10" i="15" s="1"/>
  <c r="H19" i="15"/>
  <c r="H24" i="15" s="1"/>
  <c r="H22" i="15"/>
  <c r="H23" i="15" s="1"/>
  <c r="P19" i="15"/>
  <c r="P22" i="15"/>
  <c r="P23" i="15" s="1"/>
  <c r="X19" i="15"/>
  <c r="X22" i="15"/>
  <c r="X23" i="15" s="1"/>
  <c r="K56" i="15"/>
  <c r="K16" i="15"/>
  <c r="S56" i="15"/>
  <c r="S16" i="15"/>
  <c r="F20" i="15"/>
  <c r="O16" i="15"/>
  <c r="Q19" i="15"/>
  <c r="I9" i="15"/>
  <c r="I10" i="15" s="1"/>
  <c r="Q9" i="15"/>
  <c r="Q10" i="15" s="1"/>
  <c r="Y9" i="15"/>
  <c r="Y10" i="15" s="1"/>
  <c r="I22" i="15"/>
  <c r="I23" i="15" s="1"/>
  <c r="Q22" i="15"/>
  <c r="Q23" i="15" s="1"/>
  <c r="Y22" i="15"/>
  <c r="Y23" i="15" s="1"/>
  <c r="L56" i="15"/>
  <c r="L16" i="15"/>
  <c r="L47" i="15"/>
  <c r="T56" i="15"/>
  <c r="T16" i="15"/>
  <c r="T47" i="15"/>
  <c r="K8" i="15"/>
  <c r="K43" i="15" s="1"/>
  <c r="W16" i="15"/>
  <c r="Y19" i="15"/>
  <c r="K47" i="15"/>
  <c r="L8" i="15"/>
  <c r="L43" i="15" s="1"/>
  <c r="T8" i="15"/>
  <c r="T43" i="15" s="1"/>
  <c r="C20" i="15"/>
  <c r="M8" i="15"/>
  <c r="M43" i="15" s="1"/>
  <c r="U8" i="15"/>
  <c r="U43" i="15" s="1"/>
  <c r="F8" i="15"/>
  <c r="F43" i="15" s="1"/>
  <c r="N8" i="15"/>
  <c r="N43" i="15" s="1"/>
  <c r="V8" i="15"/>
  <c r="V43" i="15" s="1"/>
  <c r="N12" i="15"/>
  <c r="J13" i="15"/>
  <c r="R13" i="15"/>
  <c r="C17" i="15"/>
  <c r="W11" i="15" s="1"/>
  <c r="F27" i="15"/>
  <c r="F40" i="15"/>
  <c r="G8" i="15"/>
  <c r="G43" i="15" s="1"/>
  <c r="O8" i="15"/>
  <c r="O43" i="15" s="1"/>
  <c r="W8" i="15"/>
  <c r="W43" i="15" s="1"/>
  <c r="H8" i="15"/>
  <c r="H43" i="15" s="1"/>
  <c r="P8" i="15"/>
  <c r="P43" i="15" s="1"/>
  <c r="X8" i="15"/>
  <c r="X43" i="15" s="1"/>
  <c r="I8" i="15"/>
  <c r="I43" i="15" s="1"/>
  <c r="Q8" i="15"/>
  <c r="Q43" i="15" s="1"/>
  <c r="Y8" i="15"/>
  <c r="Y43" i="15" s="1"/>
  <c r="J12" i="15"/>
  <c r="R12" i="15"/>
  <c r="F13" i="15"/>
  <c r="N13" i="15"/>
  <c r="X16" i="15" l="1"/>
  <c r="V16" i="15"/>
  <c r="X13" i="15"/>
  <c r="P13" i="15"/>
  <c r="V13" i="15"/>
  <c r="V12" i="15"/>
  <c r="H13" i="15"/>
  <c r="T13" i="15"/>
  <c r="H11" i="15"/>
  <c r="L13" i="15"/>
  <c r="S13" i="15"/>
  <c r="I13" i="15"/>
  <c r="I12" i="15"/>
  <c r="P11" i="15"/>
  <c r="Q13" i="15"/>
  <c r="O12" i="15"/>
  <c r="Q12" i="15"/>
  <c r="R24" i="15"/>
  <c r="X11" i="15"/>
  <c r="Q24" i="15"/>
  <c r="S12" i="15"/>
  <c r="I11" i="15"/>
  <c r="J11" i="15"/>
  <c r="Y12" i="15"/>
  <c r="V24" i="15"/>
  <c r="T24" i="15"/>
  <c r="Q11" i="15"/>
  <c r="R11" i="15"/>
  <c r="Y13" i="15"/>
  <c r="Y24" i="15"/>
  <c r="P12" i="15"/>
  <c r="V11" i="15"/>
  <c r="H12" i="15"/>
  <c r="T12" i="15"/>
  <c r="O11" i="15"/>
  <c r="G11" i="15"/>
  <c r="X24" i="15"/>
  <c r="S24" i="15"/>
  <c r="Y11" i="15"/>
  <c r="F12" i="15"/>
  <c r="L11" i="15"/>
  <c r="F11" i="15"/>
  <c r="X12" i="15"/>
  <c r="T11" i="15"/>
  <c r="L12" i="15"/>
  <c r="W24" i="15"/>
  <c r="M12" i="15"/>
  <c r="K11" i="15"/>
  <c r="M11" i="15"/>
  <c r="N11" i="15"/>
  <c r="F28" i="15"/>
  <c r="P24" i="15"/>
  <c r="U12" i="15"/>
  <c r="S11" i="15"/>
  <c r="U11" i="15"/>
  <c r="K12" i="15"/>
  <c r="K26" i="11"/>
  <c r="B30" i="9"/>
  <c r="G30" i="9"/>
  <c r="I30" i="9"/>
  <c r="C30" i="9"/>
  <c r="E30" i="9"/>
  <c r="E14" i="6"/>
  <c r="E13" i="6"/>
  <c r="E12" i="6"/>
  <c r="E11" i="6"/>
  <c r="F20" i="13"/>
  <c r="F19" i="13"/>
  <c r="F18" i="13"/>
  <c r="F17" i="13"/>
  <c r="F16" i="13"/>
  <c r="F15" i="13"/>
  <c r="H6" i="13"/>
  <c r="G6" i="13"/>
  <c r="F6" i="13"/>
  <c r="E6" i="13"/>
  <c r="B31" i="12"/>
  <c r="B30" i="12"/>
  <c r="B29" i="12"/>
  <c r="B28" i="12"/>
  <c r="I9" i="12"/>
  <c r="I10" i="12" s="1"/>
  <c r="I11" i="12" s="1"/>
  <c r="G36" i="11"/>
  <c r="H36" i="11" s="1"/>
  <c r="D34" i="11"/>
  <c r="G35" i="11"/>
  <c r="D35" i="11"/>
  <c r="D36" i="11"/>
  <c r="G34" i="11"/>
  <c r="Q107" i="10"/>
  <c r="Q128" i="10"/>
  <c r="Q127" i="10"/>
  <c r="Q126" i="10"/>
  <c r="Q125" i="10"/>
  <c r="Q124" i="10"/>
  <c r="Q123" i="10"/>
  <c r="Q122" i="10"/>
  <c r="Q121" i="10"/>
  <c r="Q120" i="10"/>
  <c r="Q119" i="10"/>
  <c r="Q118" i="10"/>
  <c r="Q117" i="10"/>
  <c r="Q116" i="10"/>
  <c r="Q115" i="10"/>
  <c r="Q114" i="10"/>
  <c r="Q113" i="10"/>
  <c r="Q112" i="10"/>
  <c r="Q111" i="10"/>
  <c r="Q110" i="10"/>
  <c r="Q109" i="10"/>
  <c r="Q108" i="10"/>
  <c r="P125" i="10"/>
  <c r="P124" i="10"/>
  <c r="R59" i="1"/>
  <c r="S6" i="4"/>
  <c r="R78" i="1"/>
  <c r="G27" i="6"/>
  <c r="G26" i="6"/>
  <c r="G25" i="6"/>
  <c r="D7" i="11"/>
  <c r="D6" i="11"/>
  <c r="G36" i="10"/>
  <c r="E31" i="10"/>
  <c r="B9" i="10"/>
  <c r="F29" i="11"/>
  <c r="F26" i="11"/>
  <c r="F24" i="11"/>
  <c r="D25" i="13" s="1"/>
  <c r="F23" i="11"/>
  <c r="D24" i="13"/>
  <c r="F22" i="11"/>
  <c r="D23" i="13"/>
  <c r="D33" i="13" s="1"/>
  <c r="K2" i="4"/>
  <c r="D2" i="4"/>
  <c r="G112" i="1"/>
  <c r="C29" i="6"/>
  <c r="D3" i="3"/>
  <c r="D2" i="3"/>
  <c r="P20" i="1"/>
  <c r="P18" i="1"/>
  <c r="P16" i="1"/>
  <c r="P14" i="1"/>
  <c r="P8" i="1"/>
  <c r="P6" i="1"/>
  <c r="I16" i="1"/>
  <c r="I14" i="1"/>
  <c r="H60" i="1" s="1"/>
  <c r="I7" i="4" s="1"/>
  <c r="E10" i="6"/>
  <c r="E9" i="6"/>
  <c r="D4" i="10"/>
  <c r="D3" i="10"/>
  <c r="B107" i="10"/>
  <c r="G37" i="10"/>
  <c r="G12" i="10" s="1"/>
  <c r="E32" i="10"/>
  <c r="E12" i="10" s="1"/>
  <c r="R26" i="4"/>
  <c r="Q122" i="1"/>
  <c r="Q121" i="1"/>
  <c r="I26" i="1"/>
  <c r="I25" i="6"/>
  <c r="I28" i="1"/>
  <c r="C17" i="4"/>
  <c r="R212" i="1"/>
  <c r="AA212" i="1"/>
  <c r="Z212" i="1"/>
  <c r="Y212" i="1"/>
  <c r="X212" i="1"/>
  <c r="H75" i="1"/>
  <c r="H77" i="1"/>
  <c r="L17" i="4"/>
  <c r="O17" i="4"/>
  <c r="AA78" i="1"/>
  <c r="Q30" i="1"/>
  <c r="H98" i="1" s="1"/>
  <c r="H101" i="1" s="1"/>
  <c r="G37" i="6"/>
  <c r="I37" i="6" s="1"/>
  <c r="G34" i="6"/>
  <c r="I34" i="6" s="1"/>
  <c r="G38" i="6"/>
  <c r="I38" i="6" s="1"/>
  <c r="G33" i="6"/>
  <c r="I33" i="6" s="1"/>
  <c r="G31" i="6"/>
  <c r="I31" i="6" s="1"/>
  <c r="G35" i="6"/>
  <c r="I35" i="6" s="1"/>
  <c r="G39" i="6"/>
  <c r="I39" i="6" s="1"/>
  <c r="G32" i="6"/>
  <c r="I32" i="6" s="1"/>
  <c r="G36" i="6"/>
  <c r="I36" i="6" s="1"/>
  <c r="G9" i="10"/>
  <c r="G30" i="6"/>
  <c r="I30" i="6" s="1"/>
  <c r="E30" i="6"/>
  <c r="E31" i="6" s="1"/>
  <c r="K24" i="1"/>
  <c r="J24" i="1"/>
  <c r="I24" i="1"/>
  <c r="E9" i="10"/>
  <c r="Z78" i="1"/>
  <c r="Y78" i="1"/>
  <c r="X78" i="1"/>
  <c r="C124" i="10" s="1"/>
  <c r="W78" i="1"/>
  <c r="X12" i="4" s="1"/>
  <c r="X38" i="4" s="1"/>
  <c r="E128" i="9"/>
  <c r="E78" i="9" s="1"/>
  <c r="E124" i="10"/>
  <c r="E73" i="10" s="1"/>
  <c r="G129" i="9"/>
  <c r="C78" i="9"/>
  <c r="G125" i="9"/>
  <c r="E118" i="10"/>
  <c r="E119" i="9"/>
  <c r="E63" i="9" s="1"/>
  <c r="E115" i="10"/>
  <c r="E58" i="10" s="1"/>
  <c r="E114" i="9"/>
  <c r="E58" i="9" s="1"/>
  <c r="E111" i="10"/>
  <c r="E54" i="10" s="1"/>
  <c r="E109" i="10"/>
  <c r="E52" i="10" s="1"/>
  <c r="G119" i="9"/>
  <c r="C62" i="9"/>
  <c r="C61" i="9"/>
  <c r="C60" i="9"/>
  <c r="G112" i="10"/>
  <c r="G110" i="10"/>
  <c r="G111" i="9"/>
  <c r="C54" i="9"/>
  <c r="E108" i="10"/>
  <c r="E51" i="10" s="1"/>
  <c r="D7" i="13"/>
  <c r="F11" i="13" s="1"/>
  <c r="F13" i="13" s="1"/>
  <c r="J78" i="1"/>
  <c r="C112" i="9" s="1"/>
  <c r="K78" i="1"/>
  <c r="C111" i="10" s="1"/>
  <c r="O78" i="1"/>
  <c r="S78" i="1"/>
  <c r="T12" i="4" s="1"/>
  <c r="T38" i="4" s="1"/>
  <c r="I78" i="1"/>
  <c r="C111" i="9" s="1"/>
  <c r="M78" i="1"/>
  <c r="C113" i="10" s="1"/>
  <c r="Q78" i="1"/>
  <c r="U78" i="1"/>
  <c r="C121" i="10" s="1"/>
  <c r="N78" i="1"/>
  <c r="C114" i="10" s="1"/>
  <c r="V78" i="1"/>
  <c r="C122" i="10" s="1"/>
  <c r="H78" i="1"/>
  <c r="H73" i="1" s="1"/>
  <c r="L78" i="1"/>
  <c r="C112" i="10" s="1"/>
  <c r="P78" i="1"/>
  <c r="C118" i="9" s="1"/>
  <c r="T78" i="1"/>
  <c r="C120" i="10" s="1"/>
  <c r="G122" i="10"/>
  <c r="G119" i="10"/>
  <c r="C73" i="9"/>
  <c r="F19" i="11"/>
  <c r="C70" i="9"/>
  <c r="G28" i="4"/>
  <c r="C14" i="4"/>
  <c r="R19" i="4"/>
  <c r="Q19" i="4"/>
  <c r="P19" i="4"/>
  <c r="O19" i="4"/>
  <c r="N19" i="4"/>
  <c r="M19" i="4"/>
  <c r="L19" i="4"/>
  <c r="J19" i="4"/>
  <c r="I19" i="4"/>
  <c r="K19" i="4"/>
  <c r="R22" i="4"/>
  <c r="Q22" i="4"/>
  <c r="P22" i="4"/>
  <c r="O22" i="4"/>
  <c r="N22" i="4"/>
  <c r="M22" i="4"/>
  <c r="L22" i="4"/>
  <c r="K22" i="4"/>
  <c r="J22" i="4"/>
  <c r="I22" i="4"/>
  <c r="C8" i="4"/>
  <c r="C5" i="4"/>
  <c r="I4" i="4"/>
  <c r="J4" i="4"/>
  <c r="K4" i="4"/>
  <c r="L4" i="4"/>
  <c r="M4" i="4"/>
  <c r="N4" i="4"/>
  <c r="O4" i="4"/>
  <c r="P4" i="4"/>
  <c r="Q4" i="4"/>
  <c r="R4" i="4"/>
  <c r="S4" i="4"/>
  <c r="T4" i="4"/>
  <c r="U4" i="4"/>
  <c r="V4" i="4"/>
  <c r="W4" i="4"/>
  <c r="X4" i="4"/>
  <c r="Y4" i="4"/>
  <c r="Z4" i="4"/>
  <c r="AA4" i="4"/>
  <c r="AB4" i="4"/>
  <c r="AC5" i="4"/>
  <c r="R23" i="4"/>
  <c r="Q23" i="4"/>
  <c r="P23" i="4"/>
  <c r="O23" i="4"/>
  <c r="N23" i="4"/>
  <c r="M23" i="4"/>
  <c r="L23" i="4"/>
  <c r="K23" i="4"/>
  <c r="J23" i="4"/>
  <c r="I23" i="4"/>
  <c r="G23" i="4"/>
  <c r="C23" i="4"/>
  <c r="F22" i="4"/>
  <c r="C21" i="4"/>
  <c r="Z17" i="4"/>
  <c r="W17" i="4"/>
  <c r="C13" i="4"/>
  <c r="C12" i="4"/>
  <c r="C11" i="4"/>
  <c r="C10" i="4"/>
  <c r="C9" i="4"/>
  <c r="C7" i="4"/>
  <c r="C6" i="4"/>
  <c r="G254" i="1"/>
  <c r="G253" i="1"/>
  <c r="G248" i="1"/>
  <c r="G246" i="1"/>
  <c r="G252" i="1"/>
  <c r="G258" i="1"/>
  <c r="G247" i="1"/>
  <c r="G121" i="1"/>
  <c r="C92" i="1"/>
  <c r="C101" i="1"/>
  <c r="C91" i="1"/>
  <c r="C100" i="1"/>
  <c r="C90" i="1"/>
  <c r="C99" i="1"/>
  <c r="G217" i="1"/>
  <c r="G216" i="1"/>
  <c r="W212" i="1"/>
  <c r="V212" i="1"/>
  <c r="U212" i="1"/>
  <c r="T212" i="1"/>
  <c r="S212" i="1"/>
  <c r="Q212" i="1"/>
  <c r="P212" i="1"/>
  <c r="O212" i="1"/>
  <c r="N212" i="1"/>
  <c r="M212" i="1"/>
  <c r="L212" i="1"/>
  <c r="K212" i="1"/>
  <c r="J212" i="1"/>
  <c r="I212" i="1"/>
  <c r="H212" i="1"/>
  <c r="G212" i="1"/>
  <c r="G211" i="1"/>
  <c r="G210" i="1"/>
  <c r="G209" i="1"/>
  <c r="G208" i="1"/>
  <c r="G215" i="1"/>
  <c r="G236" i="1"/>
  <c r="G235" i="1"/>
  <c r="G226" i="1"/>
  <c r="G234" i="1"/>
  <c r="G245" i="1"/>
  <c r="G251" i="1"/>
  <c r="G257" i="1"/>
  <c r="G230" i="1"/>
  <c r="G229" i="1"/>
  <c r="G228" i="1"/>
  <c r="G227" i="1"/>
  <c r="H67" i="1"/>
  <c r="H99" i="1"/>
  <c r="H90" i="1"/>
  <c r="H91" i="1"/>
  <c r="H100" i="1"/>
  <c r="D6" i="13"/>
  <c r="E126" i="10"/>
  <c r="E75" i="10" s="1"/>
  <c r="G123" i="10"/>
  <c r="G221" i="1"/>
  <c r="E123" i="9"/>
  <c r="E73" i="9" s="1"/>
  <c r="P10" i="1"/>
  <c r="C63" i="9"/>
  <c r="C75" i="9"/>
  <c r="C9" i="10"/>
  <c r="C77" i="9"/>
  <c r="E115" i="9"/>
  <c r="E59" i="9" s="1"/>
  <c r="E121" i="10"/>
  <c r="E70" i="10" s="1"/>
  <c r="E113" i="10"/>
  <c r="E56" i="10" s="1"/>
  <c r="G118" i="9"/>
  <c r="C76" i="9"/>
  <c r="C109" i="10"/>
  <c r="E112" i="10"/>
  <c r="G116" i="10"/>
  <c r="E120" i="10"/>
  <c r="H59" i="1"/>
  <c r="H227" i="1" s="1"/>
  <c r="I227" i="1" s="1"/>
  <c r="J227" i="1" s="1"/>
  <c r="K227" i="1" s="1"/>
  <c r="L227" i="1" s="1"/>
  <c r="M227" i="1" s="1"/>
  <c r="N227" i="1" s="1"/>
  <c r="O227" i="1" s="1"/>
  <c r="P227" i="1" s="1"/>
  <c r="Q227" i="1" s="1"/>
  <c r="R227" i="1" s="1"/>
  <c r="S227" i="1" s="1"/>
  <c r="T227" i="1" s="1"/>
  <c r="U227" i="1" s="1"/>
  <c r="V227" i="1" s="1"/>
  <c r="W227" i="1" s="1"/>
  <c r="X227" i="1" s="1"/>
  <c r="Y227" i="1" s="1"/>
  <c r="Z227" i="1" s="1"/>
  <c r="AA227" i="1" s="1"/>
  <c r="Q20" i="1"/>
  <c r="I6" i="4"/>
  <c r="I30" i="4" s="1"/>
  <c r="K26" i="1"/>
  <c r="E13" i="11"/>
  <c r="AC6" i="4" l="1"/>
  <c r="G38" i="10"/>
  <c r="J12" i="4"/>
  <c r="J38" i="4" s="1"/>
  <c r="S30" i="4"/>
  <c r="AC30" i="4" s="1"/>
  <c r="Y14" i="15"/>
  <c r="Y15" i="15" s="1"/>
  <c r="Q14" i="15"/>
  <c r="Q15" i="15" s="1"/>
  <c r="I14" i="15"/>
  <c r="X14" i="15"/>
  <c r="X15" i="15" s="1"/>
  <c r="P14" i="15"/>
  <c r="P15" i="15" s="1"/>
  <c r="H14" i="15"/>
  <c r="W14" i="15"/>
  <c r="W15" i="15" s="1"/>
  <c r="O14" i="15"/>
  <c r="G14" i="15"/>
  <c r="V14" i="15"/>
  <c r="V15" i="15" s="1"/>
  <c r="N14" i="15"/>
  <c r="F14" i="15"/>
  <c r="U14" i="15"/>
  <c r="M14" i="15"/>
  <c r="T14" i="15"/>
  <c r="T15" i="15" s="1"/>
  <c r="L14" i="15"/>
  <c r="S14" i="15"/>
  <c r="S15" i="15" s="1"/>
  <c r="K14" i="15"/>
  <c r="J14" i="15"/>
  <c r="R14" i="15"/>
  <c r="R15" i="15" s="1"/>
  <c r="E123" i="10"/>
  <c r="E72" i="10" s="1"/>
  <c r="C116" i="9"/>
  <c r="E125" i="9"/>
  <c r="E75" i="9" s="1"/>
  <c r="G75" i="9" s="1"/>
  <c r="I75" i="9" s="1"/>
  <c r="C79" i="9"/>
  <c r="C56" i="9"/>
  <c r="G112" i="9"/>
  <c r="G127" i="10"/>
  <c r="C91" i="9"/>
  <c r="G124" i="9"/>
  <c r="U12" i="4"/>
  <c r="U38" i="4" s="1"/>
  <c r="Q12" i="4"/>
  <c r="Q38" i="4" s="1"/>
  <c r="E117" i="10"/>
  <c r="E60" i="10" s="1"/>
  <c r="E120" i="9"/>
  <c r="E70" i="9" s="1"/>
  <c r="G70" i="9" s="1"/>
  <c r="I70" i="9" s="1"/>
  <c r="O12" i="4"/>
  <c r="O38" i="4" s="1"/>
  <c r="G19" i="11"/>
  <c r="C24" i="6"/>
  <c r="H35" i="11"/>
  <c r="G114" i="10"/>
  <c r="G116" i="9"/>
  <c r="G123" i="9"/>
  <c r="G117" i="10"/>
  <c r="C72" i="9"/>
  <c r="E19" i="11"/>
  <c r="I20" i="6"/>
  <c r="G63" i="9"/>
  <c r="I63" i="9" s="1"/>
  <c r="J26" i="1"/>
  <c r="I27" i="6"/>
  <c r="I26" i="6" s="1"/>
  <c r="H58" i="1"/>
  <c r="H112" i="1"/>
  <c r="C116" i="10"/>
  <c r="E113" i="9"/>
  <c r="E57" i="9" s="1"/>
  <c r="C124" i="9"/>
  <c r="E119" i="10"/>
  <c r="E68" i="10" s="1"/>
  <c r="G121" i="10"/>
  <c r="C55" i="9"/>
  <c r="I55" i="9" s="1"/>
  <c r="E126" i="9"/>
  <c r="E76" i="9" s="1"/>
  <c r="G76" i="9" s="1"/>
  <c r="I76" i="9" s="1"/>
  <c r="C122" i="9"/>
  <c r="C26" i="6"/>
  <c r="N12" i="4"/>
  <c r="N38" i="4" s="1"/>
  <c r="G117" i="9"/>
  <c r="H76" i="1"/>
  <c r="H217" i="1" s="1"/>
  <c r="H216" i="1"/>
  <c r="H235" i="1"/>
  <c r="I36" i="11"/>
  <c r="G113" i="9"/>
  <c r="G124" i="10"/>
  <c r="G126" i="9"/>
  <c r="C92" i="9"/>
  <c r="C127" i="10"/>
  <c r="AB12" i="4"/>
  <c r="AB38" i="4" s="1"/>
  <c r="C129" i="9"/>
  <c r="C117" i="10"/>
  <c r="C119" i="9"/>
  <c r="R12" i="4"/>
  <c r="R38" i="4" s="1"/>
  <c r="C89" i="9"/>
  <c r="C58" i="9"/>
  <c r="G58" i="9" s="1"/>
  <c r="I58" i="9" s="1"/>
  <c r="G111" i="10"/>
  <c r="C71" i="9"/>
  <c r="C115" i="9"/>
  <c r="C59" i="9"/>
  <c r="G59" i="9" s="1"/>
  <c r="I59" i="9" s="1"/>
  <c r="G113" i="10"/>
  <c r="G115" i="9"/>
  <c r="E116" i="10"/>
  <c r="E59" i="10" s="1"/>
  <c r="C113" i="9"/>
  <c r="L12" i="4"/>
  <c r="L38" i="4" s="1"/>
  <c r="C108" i="10"/>
  <c r="I12" i="4"/>
  <c r="I38" i="4" s="1"/>
  <c r="I54" i="4" s="1"/>
  <c r="J54" i="4" s="1"/>
  <c r="C110" i="9"/>
  <c r="C57" i="9"/>
  <c r="E118" i="9"/>
  <c r="E62" i="9" s="1"/>
  <c r="G62" i="9" s="1"/>
  <c r="I62" i="9" s="1"/>
  <c r="C110" i="10"/>
  <c r="K12" i="4"/>
  <c r="K38" i="4" s="1"/>
  <c r="G128" i="9"/>
  <c r="C94" i="9"/>
  <c r="G122" i="9"/>
  <c r="G120" i="10"/>
  <c r="E111" i="9"/>
  <c r="E55" i="9" s="1"/>
  <c r="E117" i="9"/>
  <c r="E61" i="9" s="1"/>
  <c r="G61" i="9" s="1"/>
  <c r="I61" i="9" s="1"/>
  <c r="G127" i="9"/>
  <c r="G125" i="10"/>
  <c r="G121" i="9"/>
  <c r="C125" i="9"/>
  <c r="C123" i="10"/>
  <c r="V12" i="4"/>
  <c r="V38" i="4" s="1"/>
  <c r="G126" i="10"/>
  <c r="C74" i="9"/>
  <c r="E112" i="9"/>
  <c r="E56" i="9" s="1"/>
  <c r="G120" i="9"/>
  <c r="G115" i="10"/>
  <c r="G109" i="10"/>
  <c r="E121" i="9"/>
  <c r="E71" i="9" s="1"/>
  <c r="E110" i="10"/>
  <c r="E53" i="10" s="1"/>
  <c r="G118" i="10"/>
  <c r="W12" i="4"/>
  <c r="W38" i="4" s="1"/>
  <c r="E110" i="9"/>
  <c r="E54" i="9" s="1"/>
  <c r="G54" i="9" s="1"/>
  <c r="C123" i="9"/>
  <c r="G114" i="9"/>
  <c r="C114" i="9"/>
  <c r="E33" i="10"/>
  <c r="E36" i="11"/>
  <c r="Y12" i="4"/>
  <c r="Y38" i="4" s="1"/>
  <c r="G78" i="9"/>
  <c r="I78" i="9" s="1"/>
  <c r="C126" i="9"/>
  <c r="M12" i="4"/>
  <c r="M38" i="4" s="1"/>
  <c r="G73" i="9"/>
  <c r="I73" i="9" s="1"/>
  <c r="H34" i="11"/>
  <c r="I54" i="9"/>
  <c r="P12" i="4"/>
  <c r="P38" i="4" s="1"/>
  <c r="AB83" i="1"/>
  <c r="AB212" i="1" s="1"/>
  <c r="C115" i="10"/>
  <c r="AB78" i="1"/>
  <c r="AC12" i="4" s="1"/>
  <c r="C117" i="9"/>
  <c r="C125" i="10"/>
  <c r="Z12" i="4"/>
  <c r="Z38" i="4" s="1"/>
  <c r="C127" i="9"/>
  <c r="C86" i="9"/>
  <c r="E32" i="6"/>
  <c r="E33" i="6" s="1"/>
  <c r="E34" i="6" s="1"/>
  <c r="E35" i="6" s="1"/>
  <c r="E36" i="6" s="1"/>
  <c r="E37" i="6" s="1"/>
  <c r="E38" i="6" s="1"/>
  <c r="E39" i="6" s="1"/>
  <c r="J28" i="1"/>
  <c r="K28" i="1"/>
  <c r="I98" i="1"/>
  <c r="J98" i="1" s="1"/>
  <c r="K98" i="1" s="1"/>
  <c r="L98" i="1" s="1"/>
  <c r="M98" i="1" s="1"/>
  <c r="N98" i="1" s="1"/>
  <c r="O98" i="1" s="1"/>
  <c r="P98" i="1" s="1"/>
  <c r="Q98" i="1" s="1"/>
  <c r="R98" i="1" s="1"/>
  <c r="S98" i="1" s="1"/>
  <c r="T98" i="1" s="1"/>
  <c r="U98" i="1" s="1"/>
  <c r="V98" i="1" s="1"/>
  <c r="W98" i="1" s="1"/>
  <c r="X98" i="1" s="1"/>
  <c r="Y98" i="1" s="1"/>
  <c r="Z98" i="1" s="1"/>
  <c r="AA98" i="1" s="1"/>
  <c r="H102" i="1"/>
  <c r="C118" i="10"/>
  <c r="S12" i="4"/>
  <c r="S38" i="4" s="1"/>
  <c r="C120" i="9"/>
  <c r="E69" i="10"/>
  <c r="E125" i="10"/>
  <c r="E127" i="9"/>
  <c r="E77" i="9" s="1"/>
  <c r="G77" i="9" s="1"/>
  <c r="I77" i="9" s="1"/>
  <c r="E34" i="11"/>
  <c r="I34" i="11"/>
  <c r="AA12" i="4"/>
  <c r="AA38" i="4" s="1"/>
  <c r="C128" i="9"/>
  <c r="E67" i="10"/>
  <c r="C126" i="10"/>
  <c r="E55" i="10"/>
  <c r="E122" i="9"/>
  <c r="E72" i="9" s="1"/>
  <c r="E127" i="10"/>
  <c r="E129" i="9"/>
  <c r="E79" i="9" s="1"/>
  <c r="E35" i="11"/>
  <c r="I35" i="11"/>
  <c r="G40" i="6"/>
  <c r="G110" i="9"/>
  <c r="G108" i="10"/>
  <c r="F7" i="13"/>
  <c r="F8" i="13" s="1"/>
  <c r="G40" i="11"/>
  <c r="C119" i="10"/>
  <c r="C121" i="9"/>
  <c r="E114" i="10"/>
  <c r="E116" i="9"/>
  <c r="E60" i="9" s="1"/>
  <c r="G60" i="9" s="1"/>
  <c r="I60" i="9" s="1"/>
  <c r="E122" i="10"/>
  <c r="E124" i="9"/>
  <c r="E74" i="9" s="1"/>
  <c r="E7" i="13"/>
  <c r="E8" i="13" s="1"/>
  <c r="G7" i="13"/>
  <c r="G8" i="13" s="1"/>
  <c r="H7" i="13"/>
  <c r="H8" i="13" s="1"/>
  <c r="D26" i="13"/>
  <c r="D27" i="13" s="1"/>
  <c r="D30" i="13" s="1"/>
  <c r="D32" i="13" s="1"/>
  <c r="D34" i="13" s="1"/>
  <c r="F10" i="12"/>
  <c r="F11" i="12"/>
  <c r="F9" i="12"/>
  <c r="E14" i="11"/>
  <c r="E15" i="11" s="1"/>
  <c r="G79" i="9" l="1"/>
  <c r="I79" i="9" s="1"/>
  <c r="C28" i="6"/>
  <c r="Y25" i="15"/>
  <c r="S25" i="15"/>
  <c r="M25" i="15"/>
  <c r="M15" i="15"/>
  <c r="M44" i="15" s="1"/>
  <c r="H15" i="15"/>
  <c r="H44" i="15" s="1"/>
  <c r="H25" i="15"/>
  <c r="X25" i="15"/>
  <c r="T20" i="15"/>
  <c r="T44" i="15"/>
  <c r="T21" i="15"/>
  <c r="U15" i="15"/>
  <c r="U25" i="15"/>
  <c r="P44" i="15"/>
  <c r="P20" i="15"/>
  <c r="P21" i="15"/>
  <c r="P25" i="15"/>
  <c r="R44" i="15"/>
  <c r="R20" i="15"/>
  <c r="R21" i="15"/>
  <c r="F15" i="15"/>
  <c r="F44" i="15" s="1"/>
  <c r="F25" i="15"/>
  <c r="X44" i="15"/>
  <c r="X20" i="15"/>
  <c r="X21" i="15"/>
  <c r="Q25" i="15"/>
  <c r="W44" i="15"/>
  <c r="W20" i="15"/>
  <c r="W21" i="15"/>
  <c r="J15" i="15"/>
  <c r="J44" i="15" s="1"/>
  <c r="J25" i="15"/>
  <c r="N15" i="15"/>
  <c r="N44" i="15" s="1"/>
  <c r="N25" i="15"/>
  <c r="I15" i="15"/>
  <c r="I44" i="15" s="1"/>
  <c r="I25" i="15"/>
  <c r="V25" i="15"/>
  <c r="K15" i="15"/>
  <c r="K44" i="15" s="1"/>
  <c r="K25" i="15"/>
  <c r="V44" i="15"/>
  <c r="V20" i="15"/>
  <c r="V21" i="15"/>
  <c r="Q44" i="15"/>
  <c r="Q20" i="15"/>
  <c r="Q21" i="15"/>
  <c r="S44" i="15"/>
  <c r="S20" i="15"/>
  <c r="S21" i="15"/>
  <c r="G15" i="15"/>
  <c r="G44" i="15" s="1"/>
  <c r="G25" i="15"/>
  <c r="Y44" i="15"/>
  <c r="Y20" i="15"/>
  <c r="Y21" i="15"/>
  <c r="T25" i="15"/>
  <c r="L15" i="15"/>
  <c r="L44" i="15" s="1"/>
  <c r="L25" i="15"/>
  <c r="O15" i="15"/>
  <c r="O44" i="15" s="1"/>
  <c r="O25" i="15"/>
  <c r="R25" i="15"/>
  <c r="W25" i="15"/>
  <c r="G56" i="9"/>
  <c r="I56" i="9" s="1"/>
  <c r="G39" i="11"/>
  <c r="H40" i="11" s="1"/>
  <c r="G72" i="9"/>
  <c r="I72" i="9" s="1"/>
  <c r="G71" i="9"/>
  <c r="I71" i="9" s="1"/>
  <c r="D28" i="13"/>
  <c r="D35" i="13" s="1"/>
  <c r="D36" i="13" s="1"/>
  <c r="D18" i="13" s="1"/>
  <c r="E18" i="13" s="1"/>
  <c r="G18" i="13" s="1"/>
  <c r="H18" i="13" s="1"/>
  <c r="J18" i="13" s="1"/>
  <c r="C35" i="10"/>
  <c r="I123" i="10" s="1"/>
  <c r="G41" i="11"/>
  <c r="D39" i="11"/>
  <c r="D40" i="11"/>
  <c r="I40" i="11" s="1"/>
  <c r="D41" i="11"/>
  <c r="G74" i="9"/>
  <c r="I74" i="9" s="1"/>
  <c r="K54" i="4"/>
  <c r="L54" i="4" s="1"/>
  <c r="M54" i="4" s="1"/>
  <c r="N54" i="4" s="1"/>
  <c r="O54" i="4" s="1"/>
  <c r="P54" i="4" s="1"/>
  <c r="Q54" i="4" s="1"/>
  <c r="R54" i="4" s="1"/>
  <c r="S54" i="4" s="1"/>
  <c r="T54" i="4" s="1"/>
  <c r="U54" i="4" s="1"/>
  <c r="V54" i="4" s="1"/>
  <c r="W54" i="4" s="1"/>
  <c r="X54" i="4" s="1"/>
  <c r="Y54" i="4" s="1"/>
  <c r="Z54" i="4" s="1"/>
  <c r="AA54" i="4" s="1"/>
  <c r="AB54" i="4" s="1"/>
  <c r="G57" i="9"/>
  <c r="I57" i="9" s="1"/>
  <c r="I58" i="1"/>
  <c r="H113" i="1"/>
  <c r="H57" i="1"/>
  <c r="I112" i="1"/>
  <c r="G55" i="9"/>
  <c r="H218" i="1"/>
  <c r="C87" i="9"/>
  <c r="G38" i="4"/>
  <c r="W62" i="4" s="1"/>
  <c r="E95" i="9"/>
  <c r="E92" i="10" s="1"/>
  <c r="H236" i="1"/>
  <c r="H237" i="1" s="1"/>
  <c r="C95" i="9"/>
  <c r="H61" i="1"/>
  <c r="H62" i="1" s="1"/>
  <c r="H209" i="1" s="1"/>
  <c r="E40" i="6"/>
  <c r="C130" i="9"/>
  <c r="AC38" i="4"/>
  <c r="E74" i="10"/>
  <c r="C90" i="9"/>
  <c r="C88" i="9"/>
  <c r="E71" i="10"/>
  <c r="C93" i="9"/>
  <c r="I15" i="4"/>
  <c r="H253" i="1"/>
  <c r="C128" i="10"/>
  <c r="E57" i="10"/>
  <c r="E76" i="10"/>
  <c r="E16" i="11"/>
  <c r="E17" i="11"/>
  <c r="I52" i="9" l="1"/>
  <c r="I9" i="9" s="1"/>
  <c r="R127" i="10"/>
  <c r="I121" i="10"/>
  <c r="R110" i="10"/>
  <c r="I108" i="10"/>
  <c r="R108" i="10"/>
  <c r="I117" i="10"/>
  <c r="R125" i="10"/>
  <c r="R116" i="10"/>
  <c r="R119" i="10"/>
  <c r="G32" i="10"/>
  <c r="R124" i="10"/>
  <c r="I116" i="10"/>
  <c r="I113" i="10"/>
  <c r="G14" i="10"/>
  <c r="G31" i="10" s="1"/>
  <c r="I115" i="10"/>
  <c r="U44" i="15"/>
  <c r="U20" i="15"/>
  <c r="U21" i="15"/>
  <c r="R122" i="10"/>
  <c r="I41" i="11"/>
  <c r="P22" i="1"/>
  <c r="I18" i="1" s="1"/>
  <c r="I114" i="10"/>
  <c r="I120" i="10"/>
  <c r="R123" i="10"/>
  <c r="I39" i="11"/>
  <c r="U62" i="4"/>
  <c r="I68" i="9"/>
  <c r="I13" i="9" s="1"/>
  <c r="I12" i="9" s="1"/>
  <c r="I16" i="9" s="1"/>
  <c r="I9" i="11" s="1"/>
  <c r="E40" i="11"/>
  <c r="Q69" i="4"/>
  <c r="D29" i="13"/>
  <c r="E86" i="9"/>
  <c r="E83" i="10" s="1"/>
  <c r="I118" i="10"/>
  <c r="R114" i="10"/>
  <c r="R62" i="4"/>
  <c r="I111" i="10"/>
  <c r="I125" i="10"/>
  <c r="I127" i="10"/>
  <c r="R113" i="10"/>
  <c r="E37" i="10"/>
  <c r="R121" i="10"/>
  <c r="R120" i="10"/>
  <c r="I124" i="10"/>
  <c r="R118" i="10"/>
  <c r="R112" i="10"/>
  <c r="R126" i="10"/>
  <c r="E15" i="10"/>
  <c r="I122" i="10"/>
  <c r="R115" i="10"/>
  <c r="I110" i="10"/>
  <c r="R109" i="10"/>
  <c r="I109" i="10"/>
  <c r="R111" i="10"/>
  <c r="I112" i="10"/>
  <c r="E87" i="9"/>
  <c r="G87" i="9" s="1"/>
  <c r="I87" i="9" s="1"/>
  <c r="R117" i="10"/>
  <c r="I126" i="10"/>
  <c r="I119" i="10"/>
  <c r="AB62" i="4"/>
  <c r="I62" i="4"/>
  <c r="I63" i="4" s="1"/>
  <c r="P62" i="4"/>
  <c r="T62" i="4"/>
  <c r="O62" i="4"/>
  <c r="M62" i="4"/>
  <c r="AA62" i="4"/>
  <c r="Y62" i="4"/>
  <c r="K62" i="4"/>
  <c r="V62" i="4"/>
  <c r="Z62" i="4"/>
  <c r="J62" i="4"/>
  <c r="N62" i="4"/>
  <c r="S62" i="4"/>
  <c r="Q62" i="4"/>
  <c r="L62" i="4"/>
  <c r="X62" i="4"/>
  <c r="G95" i="9"/>
  <c r="I95" i="9" s="1"/>
  <c r="I8" i="4"/>
  <c r="I32" i="4" s="1"/>
  <c r="I33" i="4" s="1"/>
  <c r="I40" i="4" s="1"/>
  <c r="H226" i="1"/>
  <c r="H234" i="1" s="1"/>
  <c r="H245" i="1" s="1"/>
  <c r="H208" i="1"/>
  <c r="H251" i="1"/>
  <c r="H257" i="1" s="1"/>
  <c r="B54" i="9"/>
  <c r="C30" i="6" s="1"/>
  <c r="I5" i="4"/>
  <c r="I61" i="4" s="1"/>
  <c r="H116" i="1"/>
  <c r="I113" i="1"/>
  <c r="I116" i="1" s="1"/>
  <c r="J58" i="1"/>
  <c r="I57" i="1"/>
  <c r="H228" i="1"/>
  <c r="H63" i="1"/>
  <c r="I9" i="4" s="1"/>
  <c r="J112" i="1"/>
  <c r="I114" i="1"/>
  <c r="D20" i="13"/>
  <c r="E20" i="13" s="1"/>
  <c r="G20" i="13" s="1"/>
  <c r="H20" i="13" s="1"/>
  <c r="J20" i="13" s="1"/>
  <c r="D17" i="13"/>
  <c r="E17" i="13" s="1"/>
  <c r="G17" i="13" s="1"/>
  <c r="H17" i="13" s="1"/>
  <c r="J17" i="13" s="1"/>
  <c r="D19" i="13"/>
  <c r="E19" i="13" s="1"/>
  <c r="G19" i="13" s="1"/>
  <c r="H19" i="13" s="1"/>
  <c r="J19" i="13" s="1"/>
  <c r="D15" i="13"/>
  <c r="E15" i="13" s="1"/>
  <c r="G15" i="13" s="1"/>
  <c r="H15" i="13" s="1"/>
  <c r="J15" i="13" s="1"/>
  <c r="D16" i="13"/>
  <c r="E16" i="13" s="1"/>
  <c r="G16" i="13" s="1"/>
  <c r="H16" i="13" s="1"/>
  <c r="J16" i="13" s="1"/>
  <c r="E90" i="9"/>
  <c r="E87" i="10" s="1"/>
  <c r="E93" i="9"/>
  <c r="E90" i="10" s="1"/>
  <c r="E88" i="9"/>
  <c r="E85" i="10" s="1"/>
  <c r="E92" i="9"/>
  <c r="E94" i="9"/>
  <c r="E91" i="9"/>
  <c r="V108" i="10"/>
  <c r="V109" i="10" s="1"/>
  <c r="V110" i="10" s="1"/>
  <c r="V111" i="10" s="1"/>
  <c r="V112" i="10" s="1"/>
  <c r="V113" i="10" s="1"/>
  <c r="V114" i="10" s="1"/>
  <c r="V115" i="10" s="1"/>
  <c r="V116" i="10" s="1"/>
  <c r="V117" i="10" s="1"/>
  <c r="V118" i="10" s="1"/>
  <c r="V119" i="10" s="1"/>
  <c r="V120" i="10" s="1"/>
  <c r="V121" i="10" s="1"/>
  <c r="V122" i="10" s="1"/>
  <c r="V123" i="10" s="1"/>
  <c r="V124" i="10" s="1"/>
  <c r="V125" i="10" s="1"/>
  <c r="V126" i="10" s="1"/>
  <c r="V127" i="10" s="1"/>
  <c r="V107" i="10"/>
  <c r="E20" i="11"/>
  <c r="W69" i="4" l="1"/>
  <c r="I70" i="4"/>
  <c r="G86" i="9"/>
  <c r="I86" i="9" s="1"/>
  <c r="N69" i="4"/>
  <c r="I69" i="4"/>
  <c r="X69" i="4"/>
  <c r="G33" i="10"/>
  <c r="P24" i="1"/>
  <c r="O69" i="4"/>
  <c r="I8" i="9"/>
  <c r="H9" i="11"/>
  <c r="T69" i="4"/>
  <c r="L69" i="4"/>
  <c r="P69" i="4"/>
  <c r="AA69" i="4"/>
  <c r="AB69" i="4"/>
  <c r="M69" i="4"/>
  <c r="K69" i="4"/>
  <c r="S69" i="4"/>
  <c r="J69" i="4"/>
  <c r="R69" i="4"/>
  <c r="V69" i="4"/>
  <c r="H64" i="1"/>
  <c r="H65" i="1" s="1"/>
  <c r="H68" i="1" s="1"/>
  <c r="H211" i="1" s="1"/>
  <c r="Z69" i="4"/>
  <c r="Y69" i="4"/>
  <c r="U69" i="4"/>
  <c r="J63" i="4"/>
  <c r="K63" i="4" s="1"/>
  <c r="L63" i="4" s="1"/>
  <c r="M63" i="4" s="1"/>
  <c r="N63" i="4" s="1"/>
  <c r="O63" i="4" s="1"/>
  <c r="P63" i="4" s="1"/>
  <c r="Q63" i="4" s="1"/>
  <c r="R63" i="4" s="1"/>
  <c r="S63" i="4" s="1"/>
  <c r="T63" i="4" s="1"/>
  <c r="U63" i="4" s="1"/>
  <c r="V63" i="4" s="1"/>
  <c r="W63" i="4" s="1"/>
  <c r="X63" i="4" s="1"/>
  <c r="Y63" i="4" s="1"/>
  <c r="Z63" i="4" s="1"/>
  <c r="AA63" i="4" s="1"/>
  <c r="AB63" i="4" s="1"/>
  <c r="E84" i="10"/>
  <c r="G93" i="9"/>
  <c r="I93" i="9" s="1"/>
  <c r="E36" i="10"/>
  <c r="E38" i="10"/>
  <c r="H117" i="1"/>
  <c r="H260" i="1" s="1"/>
  <c r="I24" i="4"/>
  <c r="H114" i="1"/>
  <c r="B55" i="9"/>
  <c r="C31" i="6" s="1"/>
  <c r="J5" i="4"/>
  <c r="J61" i="4" s="1"/>
  <c r="I208" i="1"/>
  <c r="I251" i="1"/>
  <c r="I257" i="1" s="1"/>
  <c r="I226" i="1"/>
  <c r="I234" i="1" s="1"/>
  <c r="I245" i="1" s="1"/>
  <c r="I66" i="1"/>
  <c r="I67" i="1" s="1"/>
  <c r="I74" i="1"/>
  <c r="I61" i="1"/>
  <c r="H221" i="1"/>
  <c r="H215" i="1"/>
  <c r="K58" i="1"/>
  <c r="J113" i="1"/>
  <c r="J57" i="1"/>
  <c r="J24" i="4"/>
  <c r="I117" i="1"/>
  <c r="I260" i="1" s="1"/>
  <c r="K112" i="1"/>
  <c r="G88" i="9"/>
  <c r="I88" i="9" s="1"/>
  <c r="E89" i="10"/>
  <c r="G92" i="9"/>
  <c r="I92" i="9" s="1"/>
  <c r="G90" i="9"/>
  <c r="I90" i="9" s="1"/>
  <c r="E89" i="9"/>
  <c r="G91" i="9"/>
  <c r="I91" i="9" s="1"/>
  <c r="E88" i="10"/>
  <c r="E91" i="10"/>
  <c r="G94" i="9"/>
  <c r="I94" i="9" s="1"/>
  <c r="H69" i="1" l="1"/>
  <c r="F53" i="15" s="1"/>
  <c r="H229" i="1"/>
  <c r="I65" i="1"/>
  <c r="I210" i="1" s="1"/>
  <c r="H230" i="1"/>
  <c r="H231" i="1" s="1"/>
  <c r="H210" i="1"/>
  <c r="H213" i="1" s="1"/>
  <c r="H222" i="1" s="1"/>
  <c r="K5" i="4"/>
  <c r="K61" i="4" s="1"/>
  <c r="J66" i="1"/>
  <c r="J208" i="1"/>
  <c r="B56" i="9"/>
  <c r="C32" i="6" s="1"/>
  <c r="J251" i="1"/>
  <c r="J257" i="1" s="1"/>
  <c r="J226" i="1"/>
  <c r="J234" i="1" s="1"/>
  <c r="J245" i="1" s="1"/>
  <c r="J74" i="1"/>
  <c r="J61" i="1"/>
  <c r="J116" i="1"/>
  <c r="I215" i="1"/>
  <c r="I221" i="1"/>
  <c r="L58" i="1"/>
  <c r="K113" i="1"/>
  <c r="K116" i="1" s="1"/>
  <c r="K114" i="1" s="1"/>
  <c r="K57" i="1"/>
  <c r="I99" i="1"/>
  <c r="I90" i="1"/>
  <c r="I91" i="1" s="1"/>
  <c r="I75" i="1"/>
  <c r="J67" i="1"/>
  <c r="L112" i="1"/>
  <c r="E86" i="10"/>
  <c r="G89" i="9"/>
  <c r="I89" i="9" s="1"/>
  <c r="I84" i="9"/>
  <c r="I34" i="9" s="1"/>
  <c r="I33" i="9" s="1"/>
  <c r="I37" i="9" s="1"/>
  <c r="E9" i="11" s="1"/>
  <c r="I229" i="1" l="1"/>
  <c r="J65" i="1"/>
  <c r="K65" i="1" s="1"/>
  <c r="I68" i="1"/>
  <c r="I211" i="1" s="1"/>
  <c r="I10" i="4"/>
  <c r="I37" i="4" s="1"/>
  <c r="I67" i="4" s="1"/>
  <c r="H72" i="1"/>
  <c r="H70" i="1" s="1"/>
  <c r="I11" i="4" s="1"/>
  <c r="I69" i="1"/>
  <c r="G53" i="15" s="1"/>
  <c r="J68" i="1"/>
  <c r="J211" i="1" s="1"/>
  <c r="J229" i="1"/>
  <c r="K229" i="1" s="1"/>
  <c r="B57" i="9"/>
  <c r="C33" i="6" s="1"/>
  <c r="K226" i="1"/>
  <c r="K234" i="1" s="1"/>
  <c r="K245" i="1" s="1"/>
  <c r="K66" i="1"/>
  <c r="K251" i="1"/>
  <c r="K257" i="1" s="1"/>
  <c r="K208" i="1"/>
  <c r="L5" i="4"/>
  <c r="L61" i="4" s="1"/>
  <c r="K74" i="1"/>
  <c r="K61" i="1"/>
  <c r="J90" i="1"/>
  <c r="J91" i="1" s="1"/>
  <c r="J99" i="1"/>
  <c r="M58" i="1"/>
  <c r="L57" i="1"/>
  <c r="L113" i="1"/>
  <c r="L116" i="1" s="1"/>
  <c r="J75" i="1"/>
  <c r="I100" i="1"/>
  <c r="I101" i="1" s="1"/>
  <c r="I102" i="1" s="1"/>
  <c r="I77" i="1"/>
  <c r="I73" i="1" s="1"/>
  <c r="K117" i="1"/>
  <c r="K260" i="1" s="1"/>
  <c r="L24" i="4"/>
  <c r="K67" i="1"/>
  <c r="K68" i="1" s="1"/>
  <c r="K211" i="1" s="1"/>
  <c r="J215" i="1"/>
  <c r="J221" i="1"/>
  <c r="J117" i="1"/>
  <c r="J260" i="1" s="1"/>
  <c r="K24" i="4"/>
  <c r="J114" i="1"/>
  <c r="M112" i="1"/>
  <c r="H241" i="1"/>
  <c r="H240" i="1"/>
  <c r="K210" i="1"/>
  <c r="L65" i="1"/>
  <c r="J10" i="4"/>
  <c r="J37" i="4" s="1"/>
  <c r="J210" i="1" l="1"/>
  <c r="I230" i="1"/>
  <c r="J230" i="1" s="1"/>
  <c r="K230" i="1" s="1"/>
  <c r="I39" i="4"/>
  <c r="I41" i="4" s="1"/>
  <c r="I34" i="4" s="1"/>
  <c r="I35" i="4" s="1"/>
  <c r="J31" i="4" s="1"/>
  <c r="I52" i="4"/>
  <c r="X108" i="10" s="1"/>
  <c r="I65" i="4"/>
  <c r="H79" i="1"/>
  <c r="F46" i="15" s="1"/>
  <c r="F48" i="15" s="1"/>
  <c r="F51" i="15" s="1"/>
  <c r="I68" i="4"/>
  <c r="I43" i="4"/>
  <c r="I46" i="4" s="1"/>
  <c r="I47" i="4" s="1"/>
  <c r="J45" i="4" s="1"/>
  <c r="J69" i="1"/>
  <c r="H53" i="15" s="1"/>
  <c r="I216" i="1"/>
  <c r="I235" i="1"/>
  <c r="I76" i="1"/>
  <c r="I253" i="1"/>
  <c r="J15" i="4"/>
  <c r="J70" i="4" s="1"/>
  <c r="K99" i="1"/>
  <c r="K90" i="1"/>
  <c r="K91" i="1" s="1"/>
  <c r="K75" i="1"/>
  <c r="J100" i="1"/>
  <c r="J101" i="1" s="1"/>
  <c r="J102" i="1" s="1"/>
  <c r="J77" i="1"/>
  <c r="J73" i="1" s="1"/>
  <c r="L117" i="1"/>
  <c r="L260" i="1" s="1"/>
  <c r="M24" i="4"/>
  <c r="K221" i="1"/>
  <c r="K215" i="1"/>
  <c r="L251" i="1"/>
  <c r="L257" i="1" s="1"/>
  <c r="L208" i="1"/>
  <c r="L66" i="1"/>
  <c r="L226" i="1"/>
  <c r="L234" i="1" s="1"/>
  <c r="L245" i="1" s="1"/>
  <c r="B58" i="9"/>
  <c r="C34" i="6" s="1"/>
  <c r="M5" i="4"/>
  <c r="M61" i="4" s="1"/>
  <c r="L74" i="1"/>
  <c r="L61" i="1"/>
  <c r="N58" i="1"/>
  <c r="M57" i="1"/>
  <c r="M113" i="1"/>
  <c r="M116" i="1" s="1"/>
  <c r="L114" i="1"/>
  <c r="L67" i="1"/>
  <c r="L68" i="1" s="1"/>
  <c r="L211" i="1" s="1"/>
  <c r="N112" i="1"/>
  <c r="L210" i="1"/>
  <c r="M65" i="1"/>
  <c r="K69" i="1"/>
  <c r="I53" i="15" s="1"/>
  <c r="J39" i="4"/>
  <c r="J67" i="4"/>
  <c r="J65" i="4"/>
  <c r="L229" i="1"/>
  <c r="I53" i="4" l="1"/>
  <c r="I58" i="4" s="1"/>
  <c r="I13" i="4"/>
  <c r="I25" i="4" s="1"/>
  <c r="H103" i="1"/>
  <c r="H254" i="1" s="1"/>
  <c r="H259" i="1" s="1"/>
  <c r="H252" i="1"/>
  <c r="M108" i="10"/>
  <c r="O108" i="10" s="1"/>
  <c r="I60" i="1"/>
  <c r="J7" i="4" s="1"/>
  <c r="H258" i="1"/>
  <c r="H107" i="1"/>
  <c r="I18" i="4" s="1"/>
  <c r="H246" i="1"/>
  <c r="F58" i="15"/>
  <c r="H85" i="1"/>
  <c r="I49" i="4"/>
  <c r="I71" i="4" s="1"/>
  <c r="K10" i="4"/>
  <c r="K37" i="4" s="1"/>
  <c r="K39" i="4" s="1"/>
  <c r="M229" i="1"/>
  <c r="M208" i="1"/>
  <c r="M251" i="1"/>
  <c r="M257" i="1" s="1"/>
  <c r="N5" i="4"/>
  <c r="N61" i="4" s="1"/>
  <c r="M226" i="1"/>
  <c r="M234" i="1" s="1"/>
  <c r="M245" i="1" s="1"/>
  <c r="M66" i="1"/>
  <c r="M67" i="1" s="1"/>
  <c r="B59" i="9"/>
  <c r="C35" i="6" s="1"/>
  <c r="M74" i="1"/>
  <c r="M61" i="1"/>
  <c r="J253" i="1"/>
  <c r="K15" i="4"/>
  <c r="K70" i="4" s="1"/>
  <c r="I217" i="1"/>
  <c r="I218" i="1" s="1"/>
  <c r="I236" i="1"/>
  <c r="K100" i="1"/>
  <c r="K101" i="1" s="1"/>
  <c r="K102" i="1" s="1"/>
  <c r="K77" i="1"/>
  <c r="K73" i="1" s="1"/>
  <c r="L75" i="1"/>
  <c r="L230" i="1"/>
  <c r="N24" i="4"/>
  <c r="M117" i="1"/>
  <c r="M260" i="1" s="1"/>
  <c r="J216" i="1"/>
  <c r="J76" i="1"/>
  <c r="J217" i="1" s="1"/>
  <c r="L215" i="1"/>
  <c r="L221" i="1"/>
  <c r="O58" i="1"/>
  <c r="N57" i="1"/>
  <c r="N113" i="1"/>
  <c r="N116" i="1" s="1"/>
  <c r="J235" i="1"/>
  <c r="M114" i="1"/>
  <c r="L99" i="1"/>
  <c r="L90" i="1"/>
  <c r="L91" i="1" s="1"/>
  <c r="O112" i="1"/>
  <c r="J41" i="4"/>
  <c r="J43" i="4" s="1"/>
  <c r="J46" i="4" s="1"/>
  <c r="J47" i="4" s="1"/>
  <c r="K45" i="4" s="1"/>
  <c r="L10" i="4"/>
  <c r="L37" i="4" s="1"/>
  <c r="M210" i="1"/>
  <c r="N65" i="1"/>
  <c r="L69" i="1"/>
  <c r="J53" i="15" s="1"/>
  <c r="I16" i="4" l="1"/>
  <c r="K67" i="4"/>
  <c r="K65" i="4"/>
  <c r="I55" i="4"/>
  <c r="T108" i="10"/>
  <c r="C51" i="10"/>
  <c r="I51" i="10" s="1"/>
  <c r="I50" i="4"/>
  <c r="I62" i="1"/>
  <c r="I63" i="1" s="1"/>
  <c r="J9" i="4" s="1"/>
  <c r="M68" i="1"/>
  <c r="M69" i="1" s="1"/>
  <c r="K53" i="15" s="1"/>
  <c r="K216" i="1"/>
  <c r="K76" i="1"/>
  <c r="K217" i="1" s="1"/>
  <c r="L15" i="4"/>
  <c r="L70" i="4" s="1"/>
  <c r="K253" i="1"/>
  <c r="I237" i="1"/>
  <c r="J236" i="1"/>
  <c r="J218" i="1"/>
  <c r="K235" i="1"/>
  <c r="O24" i="4"/>
  <c r="N117" i="1"/>
  <c r="N260" i="1" s="1"/>
  <c r="M221" i="1"/>
  <c r="M215" i="1"/>
  <c r="N208" i="1"/>
  <c r="N66" i="1"/>
  <c r="N67" i="1" s="1"/>
  <c r="B60" i="9"/>
  <c r="C36" i="6" s="1"/>
  <c r="N251" i="1"/>
  <c r="N257" i="1" s="1"/>
  <c r="N226" i="1"/>
  <c r="N234" i="1" s="1"/>
  <c r="N245" i="1" s="1"/>
  <c r="O5" i="4"/>
  <c r="O61" i="4" s="1"/>
  <c r="N74" i="1"/>
  <c r="N61" i="1"/>
  <c r="N114" i="1"/>
  <c r="O57" i="1"/>
  <c r="P58" i="1"/>
  <c r="O113" i="1"/>
  <c r="O116" i="1" s="1"/>
  <c r="L77" i="1"/>
  <c r="L73" i="1" s="1"/>
  <c r="M75" i="1"/>
  <c r="L100" i="1"/>
  <c r="L101" i="1" s="1"/>
  <c r="L102" i="1" s="1"/>
  <c r="M90" i="1"/>
  <c r="M91" i="1" s="1"/>
  <c r="M99" i="1"/>
  <c r="P112" i="1"/>
  <c r="N210" i="1"/>
  <c r="O65" i="1"/>
  <c r="M10" i="4"/>
  <c r="M37" i="4" s="1"/>
  <c r="L39" i="4"/>
  <c r="L67" i="4"/>
  <c r="L65" i="4"/>
  <c r="N229" i="1"/>
  <c r="J68" i="4"/>
  <c r="J34" i="4"/>
  <c r="G51" i="10" l="1"/>
  <c r="O229" i="1"/>
  <c r="I72" i="1"/>
  <c r="I70" i="1" s="1"/>
  <c r="I79" i="1" s="1"/>
  <c r="G46" i="15" s="1"/>
  <c r="G48" i="15" s="1"/>
  <c r="G58" i="15" s="1"/>
  <c r="I209" i="1"/>
  <c r="I213" i="1" s="1"/>
  <c r="I222" i="1" s="1"/>
  <c r="I228" i="1"/>
  <c r="I231" i="1" s="1"/>
  <c r="I241" i="1" s="1"/>
  <c r="J8" i="4"/>
  <c r="J32" i="4" s="1"/>
  <c r="N10" i="4"/>
  <c r="N37" i="4" s="1"/>
  <c r="N67" i="4" s="1"/>
  <c r="M230" i="1"/>
  <c r="M211" i="1"/>
  <c r="K218" i="1"/>
  <c r="N68" i="1"/>
  <c r="N211" i="1" s="1"/>
  <c r="N221" i="1"/>
  <c r="N215" i="1"/>
  <c r="M15" i="4"/>
  <c r="M70" i="4" s="1"/>
  <c r="L253" i="1"/>
  <c r="N99" i="1"/>
  <c r="N90" i="1"/>
  <c r="N91" i="1" s="1"/>
  <c r="M77" i="1"/>
  <c r="M73" i="1" s="1"/>
  <c r="M100" i="1"/>
  <c r="M101" i="1" s="1"/>
  <c r="M102" i="1" s="1"/>
  <c r="N75" i="1"/>
  <c r="L76" i="1"/>
  <c r="L217" i="1" s="1"/>
  <c r="L216" i="1"/>
  <c r="P24" i="4"/>
  <c r="O117" i="1"/>
  <c r="O260" i="1" s="1"/>
  <c r="L235" i="1"/>
  <c r="Q58" i="1"/>
  <c r="P57" i="1"/>
  <c r="P113" i="1"/>
  <c r="P116" i="1" s="1"/>
  <c r="O114" i="1"/>
  <c r="P5" i="4"/>
  <c r="P61" i="4" s="1"/>
  <c r="O66" i="1"/>
  <c r="O67" i="1" s="1"/>
  <c r="B61" i="9"/>
  <c r="C37" i="6" s="1"/>
  <c r="O208" i="1"/>
  <c r="O251" i="1"/>
  <c r="O257" i="1" s="1"/>
  <c r="O226" i="1"/>
  <c r="O234" i="1" s="1"/>
  <c r="O245" i="1" s="1"/>
  <c r="O74" i="1"/>
  <c r="O61" i="1"/>
  <c r="J237" i="1"/>
  <c r="K236" i="1"/>
  <c r="Q112" i="1"/>
  <c r="M67" i="4"/>
  <c r="M65" i="4"/>
  <c r="M39" i="4"/>
  <c r="O210" i="1"/>
  <c r="P65" i="1"/>
  <c r="P229" i="1" s="1"/>
  <c r="I258" i="1" l="1"/>
  <c r="J13" i="4"/>
  <c r="J25" i="4" s="1"/>
  <c r="N65" i="4"/>
  <c r="I252" i="1"/>
  <c r="N39" i="4"/>
  <c r="I240" i="1"/>
  <c r="G51" i="15"/>
  <c r="J60" i="1"/>
  <c r="K7" i="4" s="1"/>
  <c r="I85" i="1"/>
  <c r="J11" i="4"/>
  <c r="I103" i="1"/>
  <c r="J16" i="4" s="1"/>
  <c r="I246" i="1"/>
  <c r="I107" i="1"/>
  <c r="J18" i="4" s="1"/>
  <c r="J33" i="4"/>
  <c r="J52" i="4"/>
  <c r="N69" i="1"/>
  <c r="L53" i="15" s="1"/>
  <c r="N230" i="1"/>
  <c r="L218" i="1"/>
  <c r="O68" i="1"/>
  <c r="O69" i="1" s="1"/>
  <c r="M53" i="15" s="1"/>
  <c r="K237" i="1"/>
  <c r="L236" i="1"/>
  <c r="P117" i="1"/>
  <c r="P260" i="1" s="1"/>
  <c r="Q24" i="4"/>
  <c r="O99" i="1"/>
  <c r="O90" i="1"/>
  <c r="O91" i="1" s="1"/>
  <c r="N77" i="1"/>
  <c r="N73" i="1" s="1"/>
  <c r="O75" i="1"/>
  <c r="N100" i="1"/>
  <c r="N101" i="1" s="1"/>
  <c r="N102" i="1" s="1"/>
  <c r="P251" i="1"/>
  <c r="P257" i="1" s="1"/>
  <c r="P226" i="1"/>
  <c r="P234" i="1" s="1"/>
  <c r="P245" i="1" s="1"/>
  <c r="P208" i="1"/>
  <c r="B62" i="9"/>
  <c r="C38" i="6" s="1"/>
  <c r="P66" i="1"/>
  <c r="P67" i="1" s="1"/>
  <c r="Q5" i="4"/>
  <c r="Q61" i="4" s="1"/>
  <c r="P74" i="1"/>
  <c r="P61" i="1"/>
  <c r="N15" i="4"/>
  <c r="N70" i="4" s="1"/>
  <c r="M253" i="1"/>
  <c r="P114" i="1"/>
  <c r="O215" i="1"/>
  <c r="O221" i="1"/>
  <c r="Q57" i="1"/>
  <c r="R58" i="1"/>
  <c r="Q113" i="1"/>
  <c r="Q116" i="1" s="1"/>
  <c r="M76" i="1"/>
  <c r="M217" i="1" s="1"/>
  <c r="M216" i="1"/>
  <c r="M235" i="1"/>
  <c r="R112" i="1"/>
  <c r="P210" i="1"/>
  <c r="Q65" i="1"/>
  <c r="M109" i="10"/>
  <c r="J50" i="4" l="1"/>
  <c r="J62" i="1"/>
  <c r="J228" i="1" s="1"/>
  <c r="J231" i="1" s="1"/>
  <c r="O211" i="1"/>
  <c r="I254" i="1"/>
  <c r="I259" i="1" s="1"/>
  <c r="X109" i="10"/>
  <c r="J53" i="4"/>
  <c r="J40" i="4"/>
  <c r="J35" i="4"/>
  <c r="O10" i="4"/>
  <c r="O37" i="4" s="1"/>
  <c r="O65" i="4" s="1"/>
  <c r="O230" i="1"/>
  <c r="P10" i="4"/>
  <c r="P37" i="4" s="1"/>
  <c r="P67" i="4" s="1"/>
  <c r="M218" i="1"/>
  <c r="P68" i="1"/>
  <c r="P69" i="1" s="1"/>
  <c r="N53" i="15" s="1"/>
  <c r="N235" i="1"/>
  <c r="P215" i="1"/>
  <c r="P221" i="1"/>
  <c r="R24" i="4"/>
  <c r="Q117" i="1"/>
  <c r="Q260" i="1" s="1"/>
  <c r="L237" i="1"/>
  <c r="M236" i="1"/>
  <c r="M237" i="1" s="1"/>
  <c r="R113" i="1"/>
  <c r="R116" i="1" s="1"/>
  <c r="R57" i="1"/>
  <c r="S58" i="1"/>
  <c r="O15" i="4"/>
  <c r="O70" i="4" s="1"/>
  <c r="N253" i="1"/>
  <c r="Q208" i="1"/>
  <c r="Q226" i="1"/>
  <c r="Q234" i="1" s="1"/>
  <c r="Q245" i="1" s="1"/>
  <c r="Q66" i="1"/>
  <c r="Q67" i="1" s="1"/>
  <c r="Q251" i="1"/>
  <c r="Q257" i="1" s="1"/>
  <c r="R5" i="4"/>
  <c r="R61" i="4" s="1"/>
  <c r="B63" i="9"/>
  <c r="C39" i="6" s="1"/>
  <c r="Q74" i="1"/>
  <c r="Q61" i="1"/>
  <c r="P99" i="1"/>
  <c r="P90" i="1"/>
  <c r="P91" i="1" s="1"/>
  <c r="O100" i="1"/>
  <c r="O101" i="1" s="1"/>
  <c r="O102" i="1" s="1"/>
  <c r="O77" i="1"/>
  <c r="O73" i="1" s="1"/>
  <c r="P75" i="1"/>
  <c r="Q114" i="1"/>
  <c r="N76" i="1"/>
  <c r="N217" i="1" s="1"/>
  <c r="N216" i="1"/>
  <c r="S112" i="1"/>
  <c r="R65" i="1"/>
  <c r="Q210" i="1"/>
  <c r="O109" i="10"/>
  <c r="T109" i="10"/>
  <c r="C52" i="10"/>
  <c r="Q229" i="1"/>
  <c r="R229" i="1" s="1"/>
  <c r="P65" i="4"/>
  <c r="J72" i="1" l="1"/>
  <c r="J70" i="1" s="1"/>
  <c r="J79" i="1" s="1"/>
  <c r="H46" i="15" s="1"/>
  <c r="H48" i="15" s="1"/>
  <c r="J63" i="1"/>
  <c r="K9" i="4" s="1"/>
  <c r="K8" i="4"/>
  <c r="K32" i="4" s="1"/>
  <c r="K52" i="4" s="1"/>
  <c r="K53" i="4" s="1"/>
  <c r="J209" i="1"/>
  <c r="J213" i="1" s="1"/>
  <c r="J222" i="1" s="1"/>
  <c r="J49" i="4"/>
  <c r="J71" i="4" s="1"/>
  <c r="K31" i="4"/>
  <c r="J55" i="4"/>
  <c r="J56" i="4" s="1"/>
  <c r="J58" i="4"/>
  <c r="J59" i="4" s="1"/>
  <c r="O67" i="4"/>
  <c r="O39" i="4"/>
  <c r="O41" i="4" s="1"/>
  <c r="O43" i="4" s="1"/>
  <c r="O46" i="4" s="1"/>
  <c r="P39" i="4"/>
  <c r="Q68" i="1"/>
  <c r="Q211" i="1" s="1"/>
  <c r="N218" i="1"/>
  <c r="Q99" i="1"/>
  <c r="Q90" i="1"/>
  <c r="Q91" i="1" s="1"/>
  <c r="T58" i="1"/>
  <c r="S57" i="1"/>
  <c r="S113" i="1"/>
  <c r="S116" i="1" s="1"/>
  <c r="S114" i="1" s="1"/>
  <c r="Q75" i="1"/>
  <c r="P77" i="1"/>
  <c r="P73" i="1" s="1"/>
  <c r="P100" i="1"/>
  <c r="P101" i="1" s="1"/>
  <c r="P102" i="1" s="1"/>
  <c r="S5" i="4"/>
  <c r="S61" i="4" s="1"/>
  <c r="R208" i="1"/>
  <c r="B86" i="9"/>
  <c r="B83" i="10" s="1"/>
  <c r="B70" i="9"/>
  <c r="R66" i="1"/>
  <c r="R64" i="1" s="1"/>
  <c r="R251" i="1"/>
  <c r="R257" i="1" s="1"/>
  <c r="R226" i="1"/>
  <c r="R234" i="1" s="1"/>
  <c r="R74" i="1"/>
  <c r="R99" i="1" s="1"/>
  <c r="R61" i="1"/>
  <c r="O76" i="1"/>
  <c r="O217" i="1" s="1"/>
  <c r="O216" i="1"/>
  <c r="R122" i="1"/>
  <c r="R117" i="1"/>
  <c r="R260" i="1" s="1"/>
  <c r="S24" i="4"/>
  <c r="O253" i="1"/>
  <c r="P15" i="4"/>
  <c r="P70" i="4" s="1"/>
  <c r="N236" i="1"/>
  <c r="O235" i="1"/>
  <c r="R114" i="1"/>
  <c r="P211" i="1"/>
  <c r="P230" i="1"/>
  <c r="Q221" i="1"/>
  <c r="Q215" i="1"/>
  <c r="T112" i="1"/>
  <c r="J241" i="1"/>
  <c r="J240" i="1"/>
  <c r="R210" i="1"/>
  <c r="S65" i="1"/>
  <c r="S229" i="1" s="1"/>
  <c r="G52" i="10"/>
  <c r="I52" i="10"/>
  <c r="Q10" i="4"/>
  <c r="Q37" i="4" s="1"/>
  <c r="X110" i="10" l="1"/>
  <c r="K11" i="4"/>
  <c r="K33" i="4"/>
  <c r="K40" i="4" s="1"/>
  <c r="K41" i="4" s="1"/>
  <c r="H58" i="15"/>
  <c r="H51" i="15"/>
  <c r="Q230" i="1"/>
  <c r="Q69" i="1"/>
  <c r="O53" i="15" s="1"/>
  <c r="O218" i="1"/>
  <c r="S208" i="1"/>
  <c r="S226" i="1"/>
  <c r="S234" i="1" s="1"/>
  <c r="B71" i="9"/>
  <c r="S66" i="1"/>
  <c r="S251" i="1"/>
  <c r="S257" i="1" s="1"/>
  <c r="B87" i="9"/>
  <c r="B84" i="10" s="1"/>
  <c r="T5" i="4"/>
  <c r="T61" i="4" s="1"/>
  <c r="S74" i="1"/>
  <c r="S99" i="1" s="1"/>
  <c r="S61" i="1"/>
  <c r="T57" i="1"/>
  <c r="T113" i="1"/>
  <c r="T116" i="1" s="1"/>
  <c r="U58" i="1"/>
  <c r="P235" i="1"/>
  <c r="R221" i="1"/>
  <c r="R215" i="1"/>
  <c r="N237" i="1"/>
  <c r="O236" i="1"/>
  <c r="O237" i="1" s="1"/>
  <c r="Q15" i="4"/>
  <c r="Q70" i="4" s="1"/>
  <c r="P253" i="1"/>
  <c r="P216" i="1"/>
  <c r="P76" i="1"/>
  <c r="P217" i="1" s="1"/>
  <c r="Q77" i="1"/>
  <c r="Q73" i="1" s="1"/>
  <c r="P28" i="1" s="1"/>
  <c r="Q28" i="1" s="1"/>
  <c r="H89" i="1" s="1"/>
  <c r="Q100" i="1"/>
  <c r="Q101" i="1" s="1"/>
  <c r="Q102" i="1" s="1"/>
  <c r="R75" i="1"/>
  <c r="R67" i="1"/>
  <c r="S64" i="1"/>
  <c r="T24" i="4"/>
  <c r="S122" i="1"/>
  <c r="S117" i="1"/>
  <c r="S260" i="1" s="1"/>
  <c r="U112" i="1"/>
  <c r="R10" i="4"/>
  <c r="R37" i="4" s="1"/>
  <c r="S210" i="1"/>
  <c r="T65" i="1"/>
  <c r="O34" i="4"/>
  <c r="O68" i="4"/>
  <c r="Q39" i="4"/>
  <c r="Q65" i="4"/>
  <c r="Q67" i="4"/>
  <c r="J85" i="1"/>
  <c r="J252" i="1"/>
  <c r="J258" i="1"/>
  <c r="J103" i="1"/>
  <c r="J246" i="1"/>
  <c r="K60" i="1"/>
  <c r="K13" i="4"/>
  <c r="K55" i="4"/>
  <c r="K56" i="4" s="1"/>
  <c r="K58" i="4"/>
  <c r="K59" i="4" s="1"/>
  <c r="I89" i="1" l="1"/>
  <c r="H92" i="1"/>
  <c r="H93" i="1" s="1"/>
  <c r="P218" i="1"/>
  <c r="Q235" i="1"/>
  <c r="U113" i="1"/>
  <c r="U116" i="1" s="1"/>
  <c r="V58" i="1"/>
  <c r="U57" i="1"/>
  <c r="T117" i="1"/>
  <c r="T260" i="1" s="1"/>
  <c r="U24" i="4"/>
  <c r="T122" i="1"/>
  <c r="S67" i="1"/>
  <c r="R68" i="1"/>
  <c r="R100" i="1"/>
  <c r="R101" i="1" s="1"/>
  <c r="R102" i="1" s="1"/>
  <c r="R77" i="1"/>
  <c r="R73" i="1" s="1"/>
  <c r="S75" i="1"/>
  <c r="P236" i="1"/>
  <c r="T66" i="1"/>
  <c r="T64" i="1" s="1"/>
  <c r="T251" i="1"/>
  <c r="T257" i="1" s="1"/>
  <c r="T226" i="1"/>
  <c r="T234" i="1" s="1"/>
  <c r="T208" i="1"/>
  <c r="B88" i="9"/>
  <c r="B85" i="10" s="1"/>
  <c r="B72" i="9"/>
  <c r="U5" i="4"/>
  <c r="U61" i="4" s="1"/>
  <c r="T74" i="1"/>
  <c r="T99" i="1" s="1"/>
  <c r="T61" i="1"/>
  <c r="T114" i="1"/>
  <c r="R15" i="4"/>
  <c r="R70" i="4" s="1"/>
  <c r="Q253" i="1"/>
  <c r="S215" i="1"/>
  <c r="S221" i="1"/>
  <c r="Q76" i="1"/>
  <c r="Q217" i="1" s="1"/>
  <c r="Q216" i="1"/>
  <c r="V112" i="1"/>
  <c r="J107" i="1"/>
  <c r="K18" i="4" s="1"/>
  <c r="J254" i="1"/>
  <c r="J259" i="1" s="1"/>
  <c r="K16" i="4"/>
  <c r="L7" i="4"/>
  <c r="K62" i="1"/>
  <c r="K34" i="4"/>
  <c r="K35" i="4" s="1"/>
  <c r="K68" i="4"/>
  <c r="K43" i="4"/>
  <c r="K46" i="4" s="1"/>
  <c r="K47" i="4" s="1"/>
  <c r="L45" i="4" s="1"/>
  <c r="I29" i="12"/>
  <c r="I30" i="12" s="1"/>
  <c r="I31" i="12" s="1"/>
  <c r="R67" i="4"/>
  <c r="R65" i="4"/>
  <c r="R39" i="4"/>
  <c r="M110" i="10"/>
  <c r="K25" i="4"/>
  <c r="K50" i="4"/>
  <c r="U65" i="1"/>
  <c r="T210" i="1"/>
  <c r="T229" i="1"/>
  <c r="R76" i="1" l="1"/>
  <c r="R217" i="1" s="1"/>
  <c r="R216" i="1"/>
  <c r="W58" i="1"/>
  <c r="V113" i="1"/>
  <c r="V116" i="1" s="1"/>
  <c r="V57" i="1"/>
  <c r="R253" i="1"/>
  <c r="S15" i="4"/>
  <c r="S70" i="4" s="1"/>
  <c r="U117" i="1"/>
  <c r="U260" i="1" s="1"/>
  <c r="U122" i="1"/>
  <c r="V24" i="4"/>
  <c r="T215" i="1"/>
  <c r="T221" i="1"/>
  <c r="R211" i="1"/>
  <c r="R230" i="1"/>
  <c r="S230" i="1" s="1"/>
  <c r="R69" i="1"/>
  <c r="P53" i="15" s="1"/>
  <c r="R235" i="1"/>
  <c r="T67" i="1"/>
  <c r="S68" i="1"/>
  <c r="U114" i="1"/>
  <c r="Q218" i="1"/>
  <c r="P237" i="1"/>
  <c r="Q236" i="1"/>
  <c r="H247" i="1"/>
  <c r="H96" i="1"/>
  <c r="H94" i="1"/>
  <c r="H248" i="1" s="1"/>
  <c r="I93" i="1"/>
  <c r="S77" i="1"/>
  <c r="S73" i="1" s="1"/>
  <c r="T75" i="1"/>
  <c r="S100" i="1"/>
  <c r="S101" i="1" s="1"/>
  <c r="S102" i="1" s="1"/>
  <c r="U226" i="1"/>
  <c r="U234" i="1" s="1"/>
  <c r="V5" i="4"/>
  <c r="V61" i="4" s="1"/>
  <c r="B73" i="9"/>
  <c r="U66" i="1"/>
  <c r="U64" i="1" s="1"/>
  <c r="B89" i="9"/>
  <c r="B86" i="10" s="1"/>
  <c r="U208" i="1"/>
  <c r="U251" i="1"/>
  <c r="U257" i="1" s="1"/>
  <c r="U74" i="1"/>
  <c r="U99" i="1" s="1"/>
  <c r="U61" i="1"/>
  <c r="J89" i="1"/>
  <c r="I92" i="1"/>
  <c r="W112" i="1"/>
  <c r="U229" i="1"/>
  <c r="K49" i="4"/>
  <c r="K71" i="4" s="1"/>
  <c r="L31" i="4"/>
  <c r="K63" i="1"/>
  <c r="L9" i="4" s="1"/>
  <c r="K72" i="1"/>
  <c r="K70" i="1" s="1"/>
  <c r="K79" i="1" s="1"/>
  <c r="I46" i="15" s="1"/>
  <c r="I48" i="15" s="1"/>
  <c r="L8" i="4"/>
  <c r="L32" i="4" s="1"/>
  <c r="L52" i="4" s="1"/>
  <c r="X111" i="10" s="1"/>
  <c r="K228" i="1"/>
  <c r="K231" i="1" s="1"/>
  <c r="K240" i="1" s="1"/>
  <c r="K209" i="1"/>
  <c r="K213" i="1" s="1"/>
  <c r="K222" i="1" s="1"/>
  <c r="V65" i="1"/>
  <c r="U210" i="1"/>
  <c r="O110" i="10"/>
  <c r="C53" i="10"/>
  <c r="G53" i="10" s="1"/>
  <c r="I53" i="10" s="1"/>
  <c r="T110" i="10"/>
  <c r="I58" i="15" l="1"/>
  <c r="I51" i="15"/>
  <c r="Q237" i="1"/>
  <c r="R236" i="1"/>
  <c r="T15" i="4"/>
  <c r="T70" i="4" s="1"/>
  <c r="S253" i="1"/>
  <c r="W5" i="4"/>
  <c r="W61" i="4" s="1"/>
  <c r="B90" i="9"/>
  <c r="B87" i="10" s="1"/>
  <c r="V251" i="1"/>
  <c r="V257" i="1" s="1"/>
  <c r="V208" i="1"/>
  <c r="B74" i="9"/>
  <c r="V66" i="1"/>
  <c r="V64" i="1" s="1"/>
  <c r="V226" i="1"/>
  <c r="V234" i="1" s="1"/>
  <c r="V74" i="1"/>
  <c r="V99" i="1" s="1"/>
  <c r="V61" i="1"/>
  <c r="T77" i="1"/>
  <c r="T73" i="1" s="1"/>
  <c r="U75" i="1"/>
  <c r="T100" i="1"/>
  <c r="T101" i="1" s="1"/>
  <c r="T102" i="1" s="1"/>
  <c r="V117" i="1"/>
  <c r="V260" i="1" s="1"/>
  <c r="W24" i="4"/>
  <c r="V122" i="1"/>
  <c r="U215" i="1"/>
  <c r="U221" i="1"/>
  <c r="S76" i="1"/>
  <c r="S217" i="1" s="1"/>
  <c r="S216" i="1"/>
  <c r="X58" i="1"/>
  <c r="W113" i="1"/>
  <c r="W116" i="1" s="1"/>
  <c r="W114" i="1" s="1"/>
  <c r="W57" i="1"/>
  <c r="K241" i="1"/>
  <c r="I247" i="1"/>
  <c r="I96" i="1"/>
  <c r="I94" i="1"/>
  <c r="I248" i="1" s="1"/>
  <c r="J93" i="1"/>
  <c r="S211" i="1"/>
  <c r="S69" i="1"/>
  <c r="Q53" i="15" s="1"/>
  <c r="R218" i="1"/>
  <c r="V114" i="1"/>
  <c r="U67" i="1"/>
  <c r="T68" i="1"/>
  <c r="S235" i="1"/>
  <c r="K89" i="1"/>
  <c r="J92" i="1"/>
  <c r="S10" i="4"/>
  <c r="S37" i="4" s="1"/>
  <c r="X112" i="1"/>
  <c r="V229" i="1"/>
  <c r="L11" i="4"/>
  <c r="L53" i="4"/>
  <c r="L55" i="4" s="1"/>
  <c r="L56" i="4" s="1"/>
  <c r="L33" i="4"/>
  <c r="V210" i="1"/>
  <c r="W65" i="1"/>
  <c r="L13" i="4"/>
  <c r="K246" i="1"/>
  <c r="K103" i="1"/>
  <c r="L60" i="1"/>
  <c r="K252" i="1"/>
  <c r="K85" i="1"/>
  <c r="K258" i="1"/>
  <c r="W229" i="1" l="1"/>
  <c r="L58" i="4"/>
  <c r="L59" i="4" s="1"/>
  <c r="T235" i="1"/>
  <c r="T76" i="1"/>
  <c r="T217" i="1" s="1"/>
  <c r="T216" i="1"/>
  <c r="T10" i="4"/>
  <c r="T37" i="4" s="1"/>
  <c r="V67" i="1"/>
  <c r="U68" i="1"/>
  <c r="T211" i="1"/>
  <c r="T69" i="1"/>
  <c r="R53" i="15" s="1"/>
  <c r="T230" i="1"/>
  <c r="S65" i="4"/>
  <c r="S67" i="4"/>
  <c r="S39" i="4"/>
  <c r="B75" i="9"/>
  <c r="W208" i="1"/>
  <c r="X5" i="4"/>
  <c r="X61" i="4" s="1"/>
  <c r="W66" i="1"/>
  <c r="W64" i="1" s="1"/>
  <c r="B91" i="9"/>
  <c r="B88" i="10" s="1"/>
  <c r="W226" i="1"/>
  <c r="W234" i="1" s="1"/>
  <c r="W251" i="1"/>
  <c r="W257" i="1" s="1"/>
  <c r="W74" i="1"/>
  <c r="W99" i="1" s="1"/>
  <c r="W61" i="1"/>
  <c r="R237" i="1"/>
  <c r="S236" i="1"/>
  <c r="X24" i="4"/>
  <c r="W122" i="1"/>
  <c r="W117" i="1"/>
  <c r="W260" i="1" s="1"/>
  <c r="Y58" i="1"/>
  <c r="X57" i="1"/>
  <c r="X113" i="1"/>
  <c r="X116" i="1" s="1"/>
  <c r="X114" i="1" s="1"/>
  <c r="T253" i="1"/>
  <c r="U15" i="4"/>
  <c r="U70" i="4" s="1"/>
  <c r="V221" i="1"/>
  <c r="V215" i="1"/>
  <c r="L89" i="1"/>
  <c r="K92" i="1"/>
  <c r="J94" i="1"/>
  <c r="J248" i="1" s="1"/>
  <c r="K93" i="1"/>
  <c r="J247" i="1"/>
  <c r="J96" i="1"/>
  <c r="S218" i="1"/>
  <c r="U77" i="1"/>
  <c r="U73" i="1" s="1"/>
  <c r="V75" i="1"/>
  <c r="U100" i="1"/>
  <c r="U101" i="1" s="1"/>
  <c r="U102" i="1" s="1"/>
  <c r="Y112" i="1"/>
  <c r="W210" i="1"/>
  <c r="X65" i="1"/>
  <c r="L40" i="4"/>
  <c r="L41" i="4" s="1"/>
  <c r="K107" i="1"/>
  <c r="K254" i="1"/>
  <c r="K259" i="1" s="1"/>
  <c r="L16" i="4"/>
  <c r="L25" i="4"/>
  <c r="L50" i="4"/>
  <c r="M111" i="10"/>
  <c r="M7" i="4"/>
  <c r="L62" i="1"/>
  <c r="U230" i="1" l="1"/>
  <c r="T236" i="1"/>
  <c r="T237" i="1" s="1"/>
  <c r="T218" i="1"/>
  <c r="B92" i="9"/>
  <c r="B89" i="10" s="1"/>
  <c r="X226" i="1"/>
  <c r="X234" i="1" s="1"/>
  <c r="X208" i="1"/>
  <c r="Y5" i="4"/>
  <c r="Y61" i="4" s="1"/>
  <c r="X251" i="1"/>
  <c r="X257" i="1" s="1"/>
  <c r="B76" i="9"/>
  <c r="X66" i="1"/>
  <c r="X64" i="1" s="1"/>
  <c r="X74" i="1"/>
  <c r="X99" i="1" s="1"/>
  <c r="X61" i="1"/>
  <c r="W67" i="1"/>
  <c r="V68" i="1"/>
  <c r="Z58" i="1"/>
  <c r="Y113" i="1"/>
  <c r="Y116" i="1" s="1"/>
  <c r="Y57" i="1"/>
  <c r="T67" i="4"/>
  <c r="T65" i="4"/>
  <c r="T39" i="4"/>
  <c r="U253" i="1"/>
  <c r="V15" i="4"/>
  <c r="V70" i="4" s="1"/>
  <c r="V100" i="1"/>
  <c r="V101" i="1" s="1"/>
  <c r="V102" i="1" s="1"/>
  <c r="V77" i="1"/>
  <c r="V73" i="1" s="1"/>
  <c r="W75" i="1"/>
  <c r="M89" i="1"/>
  <c r="L92" i="1"/>
  <c r="L93" i="1"/>
  <c r="K94" i="1"/>
  <c r="K248" i="1" s="1"/>
  <c r="K247" i="1"/>
  <c r="K96" i="1"/>
  <c r="U76" i="1"/>
  <c r="U217" i="1" s="1"/>
  <c r="U216" i="1"/>
  <c r="X117" i="1"/>
  <c r="X260" i="1" s="1"/>
  <c r="X122" i="1"/>
  <c r="Y24" i="4"/>
  <c r="U10" i="4"/>
  <c r="U37" i="4" s="1"/>
  <c r="S237" i="1"/>
  <c r="U235" i="1"/>
  <c r="W221" i="1"/>
  <c r="W215" i="1"/>
  <c r="U211" i="1"/>
  <c r="U69" i="1"/>
  <c r="S53" i="15" s="1"/>
  <c r="Z112" i="1"/>
  <c r="Y114" i="1"/>
  <c r="X210" i="1"/>
  <c r="Y65" i="1"/>
  <c r="L34" i="4"/>
  <c r="L35" i="4" s="1"/>
  <c r="L68" i="4"/>
  <c r="L43" i="4"/>
  <c r="L46" i="4" s="1"/>
  <c r="L47" i="4" s="1"/>
  <c r="M45" i="4" s="1"/>
  <c r="X229" i="1"/>
  <c r="L209" i="1"/>
  <c r="L213" i="1" s="1"/>
  <c r="L222" i="1" s="1"/>
  <c r="M8" i="4"/>
  <c r="M32" i="4" s="1"/>
  <c r="L72" i="1"/>
  <c r="L228" i="1"/>
  <c r="L18" i="4"/>
  <c r="L63" i="1"/>
  <c r="M9" i="4" s="1"/>
  <c r="O111" i="10"/>
  <c r="T111" i="10"/>
  <c r="C54" i="10"/>
  <c r="G54" i="10" s="1"/>
  <c r="I54" i="10" s="1"/>
  <c r="Y229" i="1" l="1"/>
  <c r="V235" i="1"/>
  <c r="N89" i="1"/>
  <c r="M92" i="1"/>
  <c r="U236" i="1"/>
  <c r="U218" i="1"/>
  <c r="X75" i="1"/>
  <c r="W77" i="1"/>
  <c r="W73" i="1" s="1"/>
  <c r="W100" i="1"/>
  <c r="W101" i="1" s="1"/>
  <c r="W102" i="1" s="1"/>
  <c r="B93" i="9"/>
  <c r="B90" i="10" s="1"/>
  <c r="Y208" i="1"/>
  <c r="B77" i="9"/>
  <c r="Y66" i="1"/>
  <c r="Y64" i="1" s="1"/>
  <c r="Z5" i="4"/>
  <c r="Z61" i="4" s="1"/>
  <c r="Y226" i="1"/>
  <c r="Y234" i="1" s="1"/>
  <c r="Y251" i="1"/>
  <c r="Y257" i="1" s="1"/>
  <c r="Y74" i="1"/>
  <c r="Y99" i="1" s="1"/>
  <c r="Y61" i="1"/>
  <c r="V216" i="1"/>
  <c r="V76" i="1"/>
  <c r="V217" i="1" s="1"/>
  <c r="Y122" i="1"/>
  <c r="Y117" i="1"/>
  <c r="Y260" i="1" s="1"/>
  <c r="Z24" i="4"/>
  <c r="W15" i="4"/>
  <c r="W70" i="4" s="1"/>
  <c r="V253" i="1"/>
  <c r="AA58" i="1"/>
  <c r="Z113" i="1"/>
  <c r="Z116" i="1" s="1"/>
  <c r="Z57" i="1"/>
  <c r="V10" i="4"/>
  <c r="V37" i="4" s="1"/>
  <c r="V211" i="1"/>
  <c r="V230" i="1"/>
  <c r="V69" i="1"/>
  <c r="T53" i="15" s="1"/>
  <c r="X215" i="1"/>
  <c r="X221" i="1"/>
  <c r="U67" i="4"/>
  <c r="U65" i="4"/>
  <c r="U39" i="4"/>
  <c r="X67" i="1"/>
  <c r="W68" i="1"/>
  <c r="M93" i="1"/>
  <c r="L247" i="1"/>
  <c r="Z114" i="1"/>
  <c r="AA112" i="1"/>
  <c r="L49" i="4"/>
  <c r="L71" i="4" s="1"/>
  <c r="M31" i="4"/>
  <c r="M33" i="4" s="1"/>
  <c r="Y210" i="1"/>
  <c r="Z65" i="1"/>
  <c r="L231" i="1"/>
  <c r="L70" i="1"/>
  <c r="M52" i="4"/>
  <c r="Z229" i="1" l="1"/>
  <c r="Y67" i="1"/>
  <c r="X68" i="1"/>
  <c r="X77" i="1"/>
  <c r="X73" i="1" s="1"/>
  <c r="X100" i="1"/>
  <c r="X101" i="1" s="1"/>
  <c r="X102" i="1" s="1"/>
  <c r="Y75" i="1"/>
  <c r="V39" i="4"/>
  <c r="V67" i="4"/>
  <c r="V65" i="4"/>
  <c r="V236" i="1"/>
  <c r="Z251" i="1"/>
  <c r="Z257" i="1" s="1"/>
  <c r="AA5" i="4"/>
  <c r="AA61" i="4" s="1"/>
  <c r="Z66" i="1"/>
  <c r="Z64" i="1" s="1"/>
  <c r="B78" i="9"/>
  <c r="B94" i="9"/>
  <c r="B91" i="10" s="1"/>
  <c r="Z208" i="1"/>
  <c r="Z226" i="1"/>
  <c r="Z234" i="1" s="1"/>
  <c r="Z74" i="1"/>
  <c r="Z99" i="1" s="1"/>
  <c r="Z61" i="1"/>
  <c r="AA24" i="4"/>
  <c r="Z117" i="1"/>
  <c r="Z260" i="1" s="1"/>
  <c r="Z122" i="1"/>
  <c r="V218" i="1"/>
  <c r="Y221" i="1"/>
  <c r="Y215" i="1"/>
  <c r="N92" i="1"/>
  <c r="O89" i="1"/>
  <c r="AA113" i="1"/>
  <c r="AA57" i="1"/>
  <c r="U237" i="1"/>
  <c r="M247" i="1"/>
  <c r="N93" i="1"/>
  <c r="W10" i="4"/>
  <c r="W37" i="4" s="1"/>
  <c r="W253" i="1"/>
  <c r="X15" i="4"/>
  <c r="X70" i="4" s="1"/>
  <c r="W235" i="1"/>
  <c r="W211" i="1"/>
  <c r="W69" i="1"/>
  <c r="U53" i="15" s="1"/>
  <c r="W230" i="1"/>
  <c r="X230" i="1" s="1"/>
  <c r="W76" i="1"/>
  <c r="W217" i="1" s="1"/>
  <c r="W216" i="1"/>
  <c r="Z210" i="1"/>
  <c r="AA65" i="1"/>
  <c r="M40" i="4"/>
  <c r="M41" i="4" s="1"/>
  <c r="X112" i="10"/>
  <c r="M53" i="4"/>
  <c r="L241" i="1"/>
  <c r="L240" i="1"/>
  <c r="M11" i="4"/>
  <c r="L79" i="1"/>
  <c r="J46" i="15" s="1"/>
  <c r="J48" i="15" s="1"/>
  <c r="J51" i="15" l="1"/>
  <c r="J58" i="15"/>
  <c r="X235" i="1"/>
  <c r="X10" i="4"/>
  <c r="X37" i="4" s="1"/>
  <c r="AA226" i="1"/>
  <c r="AA234" i="1" s="1"/>
  <c r="AA66" i="1"/>
  <c r="AA64" i="1" s="1"/>
  <c r="AB64" i="1" s="1"/>
  <c r="AA251" i="1"/>
  <c r="AA257" i="1" s="1"/>
  <c r="AA208" i="1"/>
  <c r="B95" i="9"/>
  <c r="B92" i="10" s="1"/>
  <c r="AB5" i="4"/>
  <c r="AB61" i="4" s="1"/>
  <c r="B79" i="9"/>
  <c r="AA97" i="1"/>
  <c r="AA74" i="1"/>
  <c r="AA99" i="1" s="1"/>
  <c r="AA61" i="1"/>
  <c r="Y77" i="1"/>
  <c r="Y73" i="1" s="1"/>
  <c r="Y100" i="1"/>
  <c r="Y101" i="1" s="1"/>
  <c r="Y102" i="1" s="1"/>
  <c r="Z75" i="1"/>
  <c r="AA116" i="1"/>
  <c r="AB113" i="1"/>
  <c r="X253" i="1"/>
  <c r="Y15" i="4"/>
  <c r="Y70" i="4" s="1"/>
  <c r="P89" i="1"/>
  <c r="O92" i="1"/>
  <c r="X76" i="1"/>
  <c r="X217" i="1" s="1"/>
  <c r="X216" i="1"/>
  <c r="W218" i="1"/>
  <c r="W67" i="4"/>
  <c r="W65" i="4"/>
  <c r="W39" i="4"/>
  <c r="X211" i="1"/>
  <c r="X69" i="1"/>
  <c r="V53" i="15" s="1"/>
  <c r="V237" i="1"/>
  <c r="W236" i="1"/>
  <c r="Z67" i="1"/>
  <c r="Y68" i="1"/>
  <c r="O93" i="1"/>
  <c r="N247" i="1"/>
  <c r="Z221" i="1"/>
  <c r="Z215" i="1"/>
  <c r="AA210" i="1"/>
  <c r="AB65" i="1"/>
  <c r="M68" i="4"/>
  <c r="M34" i="4"/>
  <c r="M35" i="4" s="1"/>
  <c r="N31" i="4" s="1"/>
  <c r="M43" i="4"/>
  <c r="M46" i="4" s="1"/>
  <c r="M47" i="4" s="1"/>
  <c r="N45" i="4" s="1"/>
  <c r="AA229" i="1"/>
  <c r="M58" i="4"/>
  <c r="M59" i="4" s="1"/>
  <c r="M55" i="4"/>
  <c r="M56" i="4" s="1"/>
  <c r="L94" i="1"/>
  <c r="L248" i="1" s="1"/>
  <c r="L252" i="1"/>
  <c r="L85" i="1"/>
  <c r="M13" i="4"/>
  <c r="L96" i="1"/>
  <c r="L258" i="1"/>
  <c r="L246" i="1"/>
  <c r="L103" i="1"/>
  <c r="M60" i="1"/>
  <c r="Y235" i="1" l="1"/>
  <c r="X218" i="1"/>
  <c r="Y253" i="1"/>
  <c r="Z15" i="4"/>
  <c r="Z70" i="4" s="1"/>
  <c r="AA215" i="1"/>
  <c r="AA221" i="1"/>
  <c r="W237" i="1"/>
  <c r="X236" i="1"/>
  <c r="Y10" i="4"/>
  <c r="Y37" i="4" s="1"/>
  <c r="Y76" i="1"/>
  <c r="Y217" i="1" s="1"/>
  <c r="Y216" i="1"/>
  <c r="P92" i="1"/>
  <c r="Q89" i="1"/>
  <c r="Q92" i="1" s="1"/>
  <c r="P93" i="1"/>
  <c r="O247" i="1"/>
  <c r="X67" i="4"/>
  <c r="X39" i="4"/>
  <c r="X65" i="4"/>
  <c r="Y211" i="1"/>
  <c r="Y69" i="1"/>
  <c r="W53" i="15" s="1"/>
  <c r="Y230" i="1"/>
  <c r="AA67" i="1"/>
  <c r="AA68" i="1" s="1"/>
  <c r="AA211" i="1" s="1"/>
  <c r="Z68" i="1"/>
  <c r="AA122" i="1"/>
  <c r="AA117" i="1"/>
  <c r="AA260" i="1" s="1"/>
  <c r="AB24" i="4"/>
  <c r="AA114" i="1"/>
  <c r="Z100" i="1"/>
  <c r="Z101" i="1" s="1"/>
  <c r="Z102" i="1" s="1"/>
  <c r="Z77" i="1"/>
  <c r="Z73" i="1" s="1"/>
  <c r="AA75" i="1"/>
  <c r="M49" i="4"/>
  <c r="M71" i="4" s="1"/>
  <c r="M50" i="4"/>
  <c r="M25" i="4"/>
  <c r="M112" i="10"/>
  <c r="N7" i="4"/>
  <c r="M62" i="1"/>
  <c r="M63" i="1" s="1"/>
  <c r="N9" i="4" s="1"/>
  <c r="L107" i="1"/>
  <c r="M16" i="4"/>
  <c r="L254" i="1"/>
  <c r="L259" i="1" s="1"/>
  <c r="AB68" i="1" l="1"/>
  <c r="Z235" i="1"/>
  <c r="Y218" i="1"/>
  <c r="Y67" i="4"/>
  <c r="Y65" i="4"/>
  <c r="Y39" i="4"/>
  <c r="Z211" i="1"/>
  <c r="Z69" i="1"/>
  <c r="X53" i="15" s="1"/>
  <c r="Y236" i="1"/>
  <c r="X237" i="1"/>
  <c r="AA77" i="1"/>
  <c r="AA73" i="1" s="1"/>
  <c r="P30" i="1" s="1"/>
  <c r="AA100" i="1"/>
  <c r="AA101" i="1" s="1"/>
  <c r="AA102" i="1" s="1"/>
  <c r="AB102" i="1" s="1"/>
  <c r="Z76" i="1"/>
  <c r="Z216" i="1"/>
  <c r="Z230" i="1"/>
  <c r="AA230" i="1" s="1"/>
  <c r="P247" i="1"/>
  <c r="Q93" i="1"/>
  <c r="Q247" i="1" s="1"/>
  <c r="Z253" i="1"/>
  <c r="AA15" i="4"/>
  <c r="AA70" i="4" s="1"/>
  <c r="Z10" i="4"/>
  <c r="Z37" i="4" s="1"/>
  <c r="AA69" i="1"/>
  <c r="Y53" i="15" s="1"/>
  <c r="M18" i="4"/>
  <c r="T112" i="10"/>
  <c r="C55" i="10"/>
  <c r="G55" i="10" s="1"/>
  <c r="I55" i="10" s="1"/>
  <c r="O112" i="10"/>
  <c r="M209" i="1"/>
  <c r="M213" i="1" s="1"/>
  <c r="M222" i="1" s="1"/>
  <c r="N8" i="4"/>
  <c r="N32" i="4" s="1"/>
  <c r="M72" i="1"/>
  <c r="M228" i="1"/>
  <c r="AB69" i="1" l="1"/>
  <c r="AC10" i="4" s="1"/>
  <c r="AB10" i="4"/>
  <c r="AB37" i="4" s="1"/>
  <c r="AB39" i="4" s="1"/>
  <c r="AB73" i="1"/>
  <c r="AA235" i="1"/>
  <c r="Y237" i="1"/>
  <c r="Z236" i="1"/>
  <c r="Z39" i="4"/>
  <c r="Z65" i="4"/>
  <c r="Z67" i="4"/>
  <c r="AA10" i="4"/>
  <c r="AA37" i="4" s="1"/>
  <c r="Z217" i="1"/>
  <c r="Z218" i="1" s="1"/>
  <c r="AA253" i="1"/>
  <c r="AB15" i="4"/>
  <c r="AB70" i="4" s="1"/>
  <c r="AA76" i="1"/>
  <c r="AA217" i="1" s="1"/>
  <c r="AA216" i="1"/>
  <c r="M231" i="1"/>
  <c r="M70" i="1"/>
  <c r="N52" i="4"/>
  <c r="N33" i="4"/>
  <c r="AB65" i="4" l="1"/>
  <c r="AB67" i="4"/>
  <c r="AA65" i="4"/>
  <c r="AA39" i="4"/>
  <c r="AA67" i="4"/>
  <c r="AA218" i="1"/>
  <c r="AC37" i="4"/>
  <c r="AB76" i="1"/>
  <c r="AA236" i="1"/>
  <c r="AA237" i="1" s="1"/>
  <c r="Z237" i="1"/>
  <c r="N40" i="4"/>
  <c r="N41" i="4" s="1"/>
  <c r="X113" i="10"/>
  <c r="N53" i="4"/>
  <c r="N11" i="4"/>
  <c r="M79" i="1"/>
  <c r="K46" i="15" s="1"/>
  <c r="K48" i="15" s="1"/>
  <c r="M241" i="1"/>
  <c r="M240" i="1"/>
  <c r="K51" i="15" l="1"/>
  <c r="K58" i="15"/>
  <c r="M94" i="1"/>
  <c r="M248" i="1" s="1"/>
  <c r="M103" i="1"/>
  <c r="M258" i="1"/>
  <c r="N13" i="4"/>
  <c r="N60" i="1"/>
  <c r="M252" i="1"/>
  <c r="M246" i="1"/>
  <c r="M85" i="1"/>
  <c r="M96" i="1"/>
  <c r="N58" i="4"/>
  <c r="N59" i="4" s="1"/>
  <c r="N55" i="4"/>
  <c r="N56" i="4" s="1"/>
  <c r="N34" i="4"/>
  <c r="N35" i="4" s="1"/>
  <c r="N43" i="4"/>
  <c r="N46" i="4" s="1"/>
  <c r="N47" i="4" s="1"/>
  <c r="O45" i="4" s="1"/>
  <c r="O47" i="4" s="1"/>
  <c r="P45" i="4" s="1"/>
  <c r="N68" i="4"/>
  <c r="O31" i="4" l="1"/>
  <c r="N49" i="4"/>
  <c r="N71" i="4" s="1"/>
  <c r="N62" i="1"/>
  <c r="N63" i="1" s="1"/>
  <c r="O9" i="4" s="1"/>
  <c r="O7" i="4"/>
  <c r="M113" i="10"/>
  <c r="N50" i="4"/>
  <c r="N25" i="4"/>
  <c r="N16" i="4"/>
  <c r="M107" i="1"/>
  <c r="N18" i="4" s="1"/>
  <c r="M254" i="1"/>
  <c r="M259" i="1" s="1"/>
  <c r="C56" i="10" l="1"/>
  <c r="G56" i="10" s="1"/>
  <c r="I56" i="10" s="1"/>
  <c r="O113" i="10"/>
  <c r="T113" i="10"/>
  <c r="N209" i="1"/>
  <c r="N213" i="1" s="1"/>
  <c r="N222" i="1" s="1"/>
  <c r="N72" i="1"/>
  <c r="N70" i="1" s="1"/>
  <c r="O8" i="4"/>
  <c r="O32" i="4" s="1"/>
  <c r="O52" i="4" s="1"/>
  <c r="N228" i="1"/>
  <c r="O33" i="4" l="1"/>
  <c r="O40" i="4" s="1"/>
  <c r="N231" i="1"/>
  <c r="O11" i="4"/>
  <c r="N79" i="1"/>
  <c r="L46" i="15" s="1"/>
  <c r="L48" i="15" s="1"/>
  <c r="X114" i="10"/>
  <c r="O53" i="4"/>
  <c r="L51" i="15" l="1"/>
  <c r="L58" i="15"/>
  <c r="O35" i="4"/>
  <c r="O49" i="4" s="1"/>
  <c r="O71" i="4" s="1"/>
  <c r="O58" i="4"/>
  <c r="O59" i="4" s="1"/>
  <c r="O55" i="4"/>
  <c r="O56" i="4" s="1"/>
  <c r="N85" i="1"/>
  <c r="N94" i="1"/>
  <c r="N248" i="1" s="1"/>
  <c r="N96" i="1"/>
  <c r="N103" i="1"/>
  <c r="O60" i="1"/>
  <c r="O13" i="4"/>
  <c r="N246" i="1"/>
  <c r="N258" i="1"/>
  <c r="N252" i="1"/>
  <c r="N241" i="1"/>
  <c r="N240" i="1"/>
  <c r="P31" i="4" l="1"/>
  <c r="O16" i="4"/>
  <c r="N107" i="1"/>
  <c r="O18" i="4" s="1"/>
  <c r="N254" i="1"/>
  <c r="N259" i="1" s="1"/>
  <c r="M114" i="10"/>
  <c r="O25" i="4"/>
  <c r="O50" i="4"/>
  <c r="P7" i="4"/>
  <c r="O62" i="1"/>
  <c r="O63" i="1" s="1"/>
  <c r="P9" i="4" s="1"/>
  <c r="T114" i="10" l="1"/>
  <c r="C57" i="10"/>
  <c r="G57" i="10" s="1"/>
  <c r="I57" i="10" s="1"/>
  <c r="O114" i="10"/>
  <c r="O72" i="1"/>
  <c r="O70" i="1" s="1"/>
  <c r="O209" i="1"/>
  <c r="O213" i="1" s="1"/>
  <c r="O222" i="1" s="1"/>
  <c r="P8" i="4"/>
  <c r="P32" i="4" s="1"/>
  <c r="O228" i="1"/>
  <c r="P52" i="4" l="1"/>
  <c r="P33" i="4"/>
  <c r="O79" i="1"/>
  <c r="M46" i="15" s="1"/>
  <c r="M48" i="15" s="1"/>
  <c r="P11" i="4"/>
  <c r="O231" i="1"/>
  <c r="M51" i="15" l="1"/>
  <c r="M58" i="15"/>
  <c r="O241" i="1"/>
  <c r="O240" i="1"/>
  <c r="O94" i="1"/>
  <c r="O248" i="1" s="1"/>
  <c r="O96" i="1"/>
  <c r="P60" i="1"/>
  <c r="O258" i="1"/>
  <c r="O103" i="1"/>
  <c r="O252" i="1"/>
  <c r="P13" i="4"/>
  <c r="O246" i="1"/>
  <c r="O85" i="1"/>
  <c r="P40" i="4"/>
  <c r="P41" i="4" s="1"/>
  <c r="X115" i="10"/>
  <c r="P53" i="4"/>
  <c r="P68" i="4" l="1"/>
  <c r="P34" i="4"/>
  <c r="P35" i="4" s="1"/>
  <c r="Q31" i="4" s="1"/>
  <c r="P43" i="4"/>
  <c r="P46" i="4" s="1"/>
  <c r="P47" i="4" s="1"/>
  <c r="Q45" i="4" s="1"/>
  <c r="O107" i="1"/>
  <c r="P18" i="4" s="1"/>
  <c r="P16" i="4"/>
  <c r="O254" i="1"/>
  <c r="O259" i="1" s="1"/>
  <c r="M115" i="10"/>
  <c r="P62" i="1"/>
  <c r="P63" i="1" s="1"/>
  <c r="Q9" i="4" s="1"/>
  <c r="Q7" i="4"/>
  <c r="P25" i="4"/>
  <c r="P50" i="4"/>
  <c r="P58" i="4"/>
  <c r="P59" i="4" s="1"/>
  <c r="P55" i="4"/>
  <c r="P56" i="4" s="1"/>
  <c r="P49" i="4" l="1"/>
  <c r="P71" i="4" s="1"/>
  <c r="C58" i="10"/>
  <c r="G58" i="10" s="1"/>
  <c r="I58" i="10" s="1"/>
  <c r="T115" i="10"/>
  <c r="O115" i="10"/>
  <c r="P209" i="1"/>
  <c r="P213" i="1" s="1"/>
  <c r="P222" i="1" s="1"/>
  <c r="Q8" i="4"/>
  <c r="Q32" i="4" s="1"/>
  <c r="Q52" i="4" s="1"/>
  <c r="P72" i="1"/>
  <c r="P70" i="1" s="1"/>
  <c r="P228" i="1"/>
  <c r="X116" i="10" l="1"/>
  <c r="Q53" i="4"/>
  <c r="P231" i="1"/>
  <c r="P79" i="1"/>
  <c r="N46" i="15" s="1"/>
  <c r="N48" i="15" s="1"/>
  <c r="Q11" i="4"/>
  <c r="Q33" i="4"/>
  <c r="N51" i="15" l="1"/>
  <c r="N58" i="15"/>
  <c r="Q40" i="4"/>
  <c r="Q41" i="4" s="1"/>
  <c r="P246" i="1"/>
  <c r="P103" i="1"/>
  <c r="Q13" i="4"/>
  <c r="P96" i="1"/>
  <c r="Q60" i="1"/>
  <c r="P252" i="1"/>
  <c r="P94" i="1"/>
  <c r="P248" i="1" s="1"/>
  <c r="P258" i="1"/>
  <c r="P85" i="1"/>
  <c r="P240" i="1"/>
  <c r="P241" i="1"/>
  <c r="Q58" i="4"/>
  <c r="Q59" i="4" s="1"/>
  <c r="Q55" i="4"/>
  <c r="Q56" i="4" s="1"/>
  <c r="Q43" i="4" l="1"/>
  <c r="Q46" i="4" s="1"/>
  <c r="Q47" i="4" s="1"/>
  <c r="R45" i="4" s="1"/>
  <c r="Q68" i="4"/>
  <c r="Q34" i="4"/>
  <c r="Q35" i="4" s="1"/>
  <c r="R31" i="4" s="1"/>
  <c r="R7" i="4"/>
  <c r="Q62" i="1"/>
  <c r="Q63" i="1" s="1"/>
  <c r="R9" i="4" s="1"/>
  <c r="Q50" i="4"/>
  <c r="Q25" i="4"/>
  <c r="M116" i="10"/>
  <c r="Q16" i="4"/>
  <c r="P254" i="1"/>
  <c r="P259" i="1" s="1"/>
  <c r="P107" i="1"/>
  <c r="Q18" i="4" s="1"/>
  <c r="Q49" i="4" l="1"/>
  <c r="Q71" i="4" s="1"/>
  <c r="T116" i="10"/>
  <c r="C59" i="10"/>
  <c r="G59" i="10" s="1"/>
  <c r="I59" i="10" s="1"/>
  <c r="O116" i="10"/>
  <c r="Q209" i="1"/>
  <c r="Q213" i="1" s="1"/>
  <c r="Q222" i="1" s="1"/>
  <c r="Q72" i="1"/>
  <c r="Q70" i="1" s="1"/>
  <c r="R8" i="4"/>
  <c r="R32" i="4" s="1"/>
  <c r="R52" i="4" s="1"/>
  <c r="Q228" i="1"/>
  <c r="R33" i="4" l="1"/>
  <c r="R40" i="4" s="1"/>
  <c r="R41" i="4" s="1"/>
  <c r="Q79" i="1"/>
  <c r="O46" i="15" s="1"/>
  <c r="O48" i="15" s="1"/>
  <c r="R11" i="4"/>
  <c r="Q231" i="1"/>
  <c r="X117" i="10"/>
  <c r="R53" i="4"/>
  <c r="O58" i="15" l="1"/>
  <c r="O51" i="15"/>
  <c r="R68" i="4"/>
  <c r="R34" i="4"/>
  <c r="R35" i="4" s="1"/>
  <c r="R43" i="4"/>
  <c r="R46" i="4" s="1"/>
  <c r="R47" i="4" s="1"/>
  <c r="S45" i="4" s="1"/>
  <c r="Q94" i="1"/>
  <c r="Q248" i="1" s="1"/>
  <c r="Q258" i="1"/>
  <c r="R13" i="4"/>
  <c r="Q103" i="1"/>
  <c r="Q246" i="1"/>
  <c r="Q252" i="1"/>
  <c r="R60" i="1"/>
  <c r="Q96" i="1"/>
  <c r="Q85" i="1"/>
  <c r="G80" i="1"/>
  <c r="Q241" i="1"/>
  <c r="Q240" i="1"/>
  <c r="Q238" i="1"/>
  <c r="R58" i="4"/>
  <c r="R59" i="4" s="1"/>
  <c r="R55" i="4"/>
  <c r="R56" i="4" s="1"/>
  <c r="R49" i="4" l="1"/>
  <c r="R71" i="4" s="1"/>
  <c r="S31" i="4"/>
  <c r="S7" i="4"/>
  <c r="R62" i="1"/>
  <c r="R63" i="1" s="1"/>
  <c r="S9" i="4" s="1"/>
  <c r="Q254" i="1"/>
  <c r="Q259" i="1" s="1"/>
  <c r="Q107" i="1"/>
  <c r="R16" i="4"/>
  <c r="G104" i="1"/>
  <c r="M117" i="10"/>
  <c r="R25" i="4"/>
  <c r="R50" i="4"/>
  <c r="R18" i="4" l="1"/>
  <c r="F106" i="1"/>
  <c r="I11" i="10"/>
  <c r="I15" i="10" s="1"/>
  <c r="D93" i="1"/>
  <c r="G93" i="1" s="1"/>
  <c r="I104" i="1"/>
  <c r="I12" i="10" s="1"/>
  <c r="R72" i="1"/>
  <c r="R70" i="1" s="1"/>
  <c r="R209" i="1"/>
  <c r="R213" i="1" s="1"/>
  <c r="R222" i="1" s="1"/>
  <c r="S8" i="4"/>
  <c r="S32" i="4" s="1"/>
  <c r="R228" i="1"/>
  <c r="T117" i="10"/>
  <c r="C60" i="10"/>
  <c r="G60" i="10" s="1"/>
  <c r="I60" i="10" s="1"/>
  <c r="I49" i="10" s="1"/>
  <c r="C20" i="10" s="1"/>
  <c r="C19" i="10" s="1"/>
  <c r="O117" i="10"/>
  <c r="S52" i="4" l="1"/>
  <c r="S33" i="4"/>
  <c r="S11" i="4"/>
  <c r="R79" i="1"/>
  <c r="P46" i="15" s="1"/>
  <c r="P48" i="15" s="1"/>
  <c r="R231" i="1"/>
  <c r="N17" i="4"/>
  <c r="D106" i="1"/>
  <c r="P58" i="15" l="1"/>
  <c r="P50" i="15"/>
  <c r="P51" i="15"/>
  <c r="P49" i="15"/>
  <c r="R241" i="1"/>
  <c r="R240" i="1"/>
  <c r="S13" i="4"/>
  <c r="S50" i="4" s="1"/>
  <c r="R258" i="1"/>
  <c r="S60" i="1"/>
  <c r="R252" i="1"/>
  <c r="R103" i="1"/>
  <c r="R85" i="1"/>
  <c r="S40" i="4"/>
  <c r="S41" i="4" s="1"/>
  <c r="M17" i="4"/>
  <c r="X118" i="10"/>
  <c r="S53" i="4"/>
  <c r="S58" i="4" l="1"/>
  <c r="S59" i="4" s="1"/>
  <c r="S55" i="4"/>
  <c r="S56" i="4" s="1"/>
  <c r="R104" i="1"/>
  <c r="R118" i="1"/>
  <c r="R254" i="1"/>
  <c r="R259" i="1" s="1"/>
  <c r="R121" i="1"/>
  <c r="R123" i="1" s="1"/>
  <c r="S26" i="4" s="1"/>
  <c r="S16" i="4"/>
  <c r="R107" i="1"/>
  <c r="M118" i="10"/>
  <c r="S62" i="1"/>
  <c r="S63" i="1" s="1"/>
  <c r="T9" i="4" s="1"/>
  <c r="T7" i="4"/>
  <c r="S34" i="4"/>
  <c r="S35" i="4" s="1"/>
  <c r="S43" i="4"/>
  <c r="S46" i="4" s="1"/>
  <c r="S47" i="4" s="1"/>
  <c r="T45" i="4" s="1"/>
  <c r="S68" i="4"/>
  <c r="T8" i="4" l="1"/>
  <c r="T32" i="4" s="1"/>
  <c r="T52" i="4" s="1"/>
  <c r="S209" i="1"/>
  <c r="S213" i="1" s="1"/>
  <c r="S222" i="1" s="1"/>
  <c r="S72" i="1"/>
  <c r="S70" i="1" s="1"/>
  <c r="S228" i="1"/>
  <c r="S104" i="1"/>
  <c r="S25" i="4"/>
  <c r="C83" i="10"/>
  <c r="G83" i="10" s="1"/>
  <c r="I83" i="10" s="1"/>
  <c r="S22" i="4"/>
  <c r="R120" i="1"/>
  <c r="T118" i="10"/>
  <c r="O118" i="10"/>
  <c r="C67" i="10"/>
  <c r="G67" i="10" s="1"/>
  <c r="I67" i="10" s="1"/>
  <c r="T31" i="4"/>
  <c r="S49" i="4"/>
  <c r="S71" i="4" s="1"/>
  <c r="S18" i="4"/>
  <c r="T33" i="4" l="1"/>
  <c r="S23" i="4"/>
  <c r="R108" i="1"/>
  <c r="S19" i="4" s="1"/>
  <c r="S231" i="1"/>
  <c r="T11" i="4"/>
  <c r="S79" i="1"/>
  <c r="Q46" i="15" s="1"/>
  <c r="Q48" i="15" s="1"/>
  <c r="X119" i="10"/>
  <c r="T53" i="4"/>
  <c r="Q58" i="15" l="1"/>
  <c r="Q50" i="15"/>
  <c r="Q51" i="15"/>
  <c r="Q49" i="15"/>
  <c r="T40" i="4"/>
  <c r="T41" i="4" s="1"/>
  <c r="S103" i="1"/>
  <c r="S85" i="1"/>
  <c r="T13" i="4"/>
  <c r="T50" i="4" s="1"/>
  <c r="T60" i="1"/>
  <c r="S252" i="1"/>
  <c r="S258" i="1"/>
  <c r="S241" i="1"/>
  <c r="S240" i="1"/>
  <c r="T58" i="4"/>
  <c r="T59" i="4" s="1"/>
  <c r="T55" i="4"/>
  <c r="T56" i="4" s="1"/>
  <c r="T34" i="4" l="1"/>
  <c r="T35" i="4" s="1"/>
  <c r="T68" i="4"/>
  <c r="T43" i="4"/>
  <c r="T46" i="4" s="1"/>
  <c r="T47" i="4" s="1"/>
  <c r="U45" i="4" s="1"/>
  <c r="U7" i="4"/>
  <c r="T62" i="1"/>
  <c r="M119" i="10"/>
  <c r="S107" i="1"/>
  <c r="S254" i="1"/>
  <c r="S259" i="1" s="1"/>
  <c r="T16" i="4"/>
  <c r="S118" i="1"/>
  <c r="S121" i="1"/>
  <c r="S123" i="1" s="1"/>
  <c r="T26" i="4" s="1"/>
  <c r="T49" i="4" l="1"/>
  <c r="T71" i="4" s="1"/>
  <c r="U31" i="4"/>
  <c r="T18" i="4"/>
  <c r="O119" i="10"/>
  <c r="T119" i="10"/>
  <c r="C68" i="10"/>
  <c r="G68" i="10" s="1"/>
  <c r="I68" i="10" s="1"/>
  <c r="C84" i="10"/>
  <c r="G84" i="10" s="1"/>
  <c r="I84" i="10" s="1"/>
  <c r="U8" i="4"/>
  <c r="U32" i="4" s="1"/>
  <c r="T209" i="1"/>
  <c r="T213" i="1" s="1"/>
  <c r="T222" i="1" s="1"/>
  <c r="T72" i="1"/>
  <c r="T70" i="1" s="1"/>
  <c r="T228" i="1"/>
  <c r="T22" i="4"/>
  <c r="S120" i="1"/>
  <c r="T63" i="1"/>
  <c r="U9" i="4" s="1"/>
  <c r="T25" i="4"/>
  <c r="T231" i="1" l="1"/>
  <c r="U11" i="4"/>
  <c r="T79" i="1"/>
  <c r="R46" i="15" s="1"/>
  <c r="R48" i="15" s="1"/>
  <c r="U52" i="4"/>
  <c r="U33" i="4"/>
  <c r="T23" i="4"/>
  <c r="S108" i="1"/>
  <c r="T19" i="4" s="1"/>
  <c r="R50" i="15" l="1"/>
  <c r="R51" i="15"/>
  <c r="R58" i="15"/>
  <c r="R49" i="15"/>
  <c r="U40" i="4"/>
  <c r="U41" i="4" s="1"/>
  <c r="X120" i="10"/>
  <c r="U53" i="4"/>
  <c r="T252" i="1"/>
  <c r="T85" i="1"/>
  <c r="T258" i="1"/>
  <c r="U13" i="4"/>
  <c r="U50" i="4" s="1"/>
  <c r="T103" i="1"/>
  <c r="U60" i="1"/>
  <c r="T241" i="1"/>
  <c r="T240" i="1"/>
  <c r="U58" i="4" l="1"/>
  <c r="U59" i="4" s="1"/>
  <c r="U55" i="4"/>
  <c r="U56" i="4" s="1"/>
  <c r="V7" i="4"/>
  <c r="U62" i="1"/>
  <c r="U63" i="1" s="1"/>
  <c r="V9" i="4" s="1"/>
  <c r="T254" i="1"/>
  <c r="T259" i="1" s="1"/>
  <c r="T118" i="1"/>
  <c r="T121" i="1"/>
  <c r="T123" i="1" s="1"/>
  <c r="U26" i="4" s="1"/>
  <c r="U16" i="4"/>
  <c r="T107" i="1"/>
  <c r="U43" i="4"/>
  <c r="U46" i="4" s="1"/>
  <c r="U47" i="4" s="1"/>
  <c r="U34" i="4"/>
  <c r="U35" i="4" s="1"/>
  <c r="U68" i="4"/>
  <c r="M120" i="10"/>
  <c r="V31" i="4" l="1"/>
  <c r="U49" i="4"/>
  <c r="U71" i="4" s="1"/>
  <c r="V45" i="4"/>
  <c r="V47" i="4"/>
  <c r="V8" i="4"/>
  <c r="V32" i="4" s="1"/>
  <c r="V52" i="4" s="1"/>
  <c r="U72" i="1"/>
  <c r="U70" i="1" s="1"/>
  <c r="U209" i="1"/>
  <c r="U213" i="1" s="1"/>
  <c r="U222" i="1" s="1"/>
  <c r="U228" i="1"/>
  <c r="U18" i="4"/>
  <c r="O120" i="10"/>
  <c r="C69" i="10"/>
  <c r="G69" i="10" s="1"/>
  <c r="I69" i="10" s="1"/>
  <c r="T120" i="10"/>
  <c r="U25" i="4"/>
  <c r="C85" i="10"/>
  <c r="G85" i="10" s="1"/>
  <c r="I85" i="10" s="1"/>
  <c r="U22" i="4"/>
  <c r="T120" i="1"/>
  <c r="T108" i="1" s="1"/>
  <c r="U19" i="4" s="1"/>
  <c r="U231" i="1" l="1"/>
  <c r="V11" i="4"/>
  <c r="U79" i="1"/>
  <c r="S46" i="15" s="1"/>
  <c r="S48" i="15" s="1"/>
  <c r="W45" i="4"/>
  <c r="W47" i="4"/>
  <c r="X121" i="10"/>
  <c r="V53" i="4"/>
  <c r="U23" i="4"/>
  <c r="V33" i="4"/>
  <c r="S51" i="15" l="1"/>
  <c r="S50" i="15"/>
  <c r="S58" i="15"/>
  <c r="S49" i="15"/>
  <c r="X45" i="4"/>
  <c r="X47" i="4"/>
  <c r="V13" i="4"/>
  <c r="V50" i="4" s="1"/>
  <c r="U85" i="1"/>
  <c r="V60" i="1"/>
  <c r="U252" i="1"/>
  <c r="U258" i="1"/>
  <c r="U103" i="1"/>
  <c r="V40" i="4"/>
  <c r="V41" i="4" s="1"/>
  <c r="V58" i="4"/>
  <c r="V59" i="4" s="1"/>
  <c r="V55" i="4"/>
  <c r="V56" i="4" s="1"/>
  <c r="U240" i="1"/>
  <c r="U241" i="1"/>
  <c r="W7" i="4" l="1"/>
  <c r="V62" i="1"/>
  <c r="V63" i="1" s="1"/>
  <c r="W9" i="4" s="1"/>
  <c r="M121" i="10"/>
  <c r="V43" i="4"/>
  <c r="V46" i="4" s="1"/>
  <c r="V68" i="4"/>
  <c r="V34" i="4"/>
  <c r="V35" i="4" s="1"/>
  <c r="Y45" i="4"/>
  <c r="Y47" i="4"/>
  <c r="U121" i="1"/>
  <c r="U123" i="1" s="1"/>
  <c r="V26" i="4" s="1"/>
  <c r="U107" i="1"/>
  <c r="U254" i="1"/>
  <c r="U259" i="1" s="1"/>
  <c r="U118" i="1"/>
  <c r="V16" i="4"/>
  <c r="V25" i="4" l="1"/>
  <c r="T121" i="10"/>
  <c r="C70" i="10"/>
  <c r="G70" i="10" s="1"/>
  <c r="I70" i="10" s="1"/>
  <c r="O121" i="10"/>
  <c r="C86" i="10"/>
  <c r="G86" i="10" s="1"/>
  <c r="I86" i="10" s="1"/>
  <c r="V18" i="4"/>
  <c r="Z47" i="4"/>
  <c r="Z45" i="4"/>
  <c r="V22" i="4"/>
  <c r="U120" i="1"/>
  <c r="U108" i="1" s="1"/>
  <c r="V19" i="4" s="1"/>
  <c r="V72" i="1"/>
  <c r="V70" i="1" s="1"/>
  <c r="W8" i="4"/>
  <c r="W32" i="4" s="1"/>
  <c r="W52" i="4" s="1"/>
  <c r="V209" i="1"/>
  <c r="V213" i="1" s="1"/>
  <c r="V222" i="1" s="1"/>
  <c r="V228" i="1"/>
  <c r="V49" i="4"/>
  <c r="V71" i="4" s="1"/>
  <c r="W31" i="4"/>
  <c r="V231" i="1" l="1"/>
  <c r="AA47" i="4"/>
  <c r="AA45" i="4"/>
  <c r="W11" i="4"/>
  <c r="V79" i="1"/>
  <c r="T46" i="15" s="1"/>
  <c r="T48" i="15" s="1"/>
  <c r="V23" i="4"/>
  <c r="X122" i="10"/>
  <c r="W53" i="4"/>
  <c r="W33" i="4"/>
  <c r="T51" i="15" l="1"/>
  <c r="T58" i="15"/>
  <c r="T50" i="15"/>
  <c r="T49" i="15"/>
  <c r="W13" i="4"/>
  <c r="W50" i="4" s="1"/>
  <c r="V103" i="1"/>
  <c r="W60" i="1"/>
  <c r="V85" i="1"/>
  <c r="V258" i="1"/>
  <c r="V252" i="1"/>
  <c r="W40" i="4"/>
  <c r="W41" i="4" s="1"/>
  <c r="AB47" i="4"/>
  <c r="AB45" i="4"/>
  <c r="W58" i="4"/>
  <c r="W59" i="4" s="1"/>
  <c r="W55" i="4"/>
  <c r="W56" i="4" s="1"/>
  <c r="V240" i="1"/>
  <c r="V241" i="1"/>
  <c r="M122" i="10" l="1"/>
  <c r="W62" i="1"/>
  <c r="W63" i="1" s="1"/>
  <c r="X9" i="4" s="1"/>
  <c r="X7" i="4"/>
  <c r="W43" i="4"/>
  <c r="W46" i="4" s="1"/>
  <c r="W34" i="4"/>
  <c r="W35" i="4" s="1"/>
  <c r="W68" i="4"/>
  <c r="V118" i="1"/>
  <c r="V107" i="1"/>
  <c r="V121" i="1"/>
  <c r="V123" i="1" s="1"/>
  <c r="W26" i="4" s="1"/>
  <c r="W16" i="4"/>
  <c r="V254" i="1"/>
  <c r="V259" i="1" s="1"/>
  <c r="X31" i="4" l="1"/>
  <c r="W49" i="4"/>
  <c r="W71" i="4" s="1"/>
  <c r="W25" i="4"/>
  <c r="C9" i="12"/>
  <c r="W209" i="1"/>
  <c r="W213" i="1" s="1"/>
  <c r="W222" i="1" s="1"/>
  <c r="W72" i="1"/>
  <c r="W70" i="1" s="1"/>
  <c r="X8" i="4"/>
  <c r="X32" i="4" s="1"/>
  <c r="X52" i="4" s="1"/>
  <c r="W228" i="1"/>
  <c r="W22" i="4"/>
  <c r="V120" i="1"/>
  <c r="C87" i="10"/>
  <c r="G87" i="10" s="1"/>
  <c r="I87" i="10" s="1"/>
  <c r="W18" i="4"/>
  <c r="C71" i="10"/>
  <c r="G71" i="10" s="1"/>
  <c r="I71" i="10" s="1"/>
  <c r="O122" i="10"/>
  <c r="T122" i="10"/>
  <c r="X11" i="4" l="1"/>
  <c r="W79" i="1"/>
  <c r="U46" i="15" s="1"/>
  <c r="U48" i="15" s="1"/>
  <c r="C29" i="12"/>
  <c r="D9" i="12"/>
  <c r="E9" i="12" s="1"/>
  <c r="G9" i="12" s="1"/>
  <c r="J9" i="12" s="1"/>
  <c r="K9" i="12" s="1"/>
  <c r="C19" i="12"/>
  <c r="W23" i="4"/>
  <c r="W231" i="1"/>
  <c r="V108" i="1"/>
  <c r="W19" i="4" s="1"/>
  <c r="X123" i="10"/>
  <c r="X53" i="4"/>
  <c r="X33" i="4"/>
  <c r="U51" i="15" l="1"/>
  <c r="U58" i="15"/>
  <c r="U50" i="15"/>
  <c r="U49" i="15"/>
  <c r="X58" i="4"/>
  <c r="X59" i="4" s="1"/>
  <c r="X55" i="4"/>
  <c r="X56" i="4" s="1"/>
  <c r="D29" i="12"/>
  <c r="F29" i="12" s="1"/>
  <c r="D19" i="12"/>
  <c r="J19" i="12"/>
  <c r="E19" i="12"/>
  <c r="F19" i="12" s="1"/>
  <c r="I19" i="12" s="1"/>
  <c r="W240" i="1"/>
  <c r="W241" i="1"/>
  <c r="W85" i="1"/>
  <c r="W252" i="1"/>
  <c r="W258" i="1"/>
  <c r="X13" i="4"/>
  <c r="X50" i="4" s="1"/>
  <c r="W103" i="1"/>
  <c r="X60" i="1"/>
  <c r="X40" i="4"/>
  <c r="X41" i="4" s="1"/>
  <c r="E29" i="12" l="1"/>
  <c r="G29" i="12" s="1"/>
  <c r="J29" i="12" s="1"/>
  <c r="K29" i="12" s="1"/>
  <c r="W254" i="1"/>
  <c r="W259" i="1" s="1"/>
  <c r="X16" i="4"/>
  <c r="X25" i="4" s="1"/>
  <c r="W107" i="1"/>
  <c r="W121" i="1"/>
  <c r="W123" i="1" s="1"/>
  <c r="X26" i="4" s="1"/>
  <c r="W118" i="1"/>
  <c r="X43" i="4"/>
  <c r="X46" i="4" s="1"/>
  <c r="X68" i="4"/>
  <c r="X34" i="4"/>
  <c r="X35" i="4" s="1"/>
  <c r="M123" i="10"/>
  <c r="Y7" i="4"/>
  <c r="X62" i="1"/>
  <c r="X63" i="1" s="1"/>
  <c r="Y9" i="4" s="1"/>
  <c r="X49" i="4" l="1"/>
  <c r="X71" i="4" s="1"/>
  <c r="Y31" i="4"/>
  <c r="W120" i="1"/>
  <c r="X23" i="4" s="1"/>
  <c r="X22" i="4"/>
  <c r="Y8" i="4"/>
  <c r="Y32" i="4" s="1"/>
  <c r="Y52" i="4" s="1"/>
  <c r="X72" i="1"/>
  <c r="X70" i="1" s="1"/>
  <c r="X209" i="1"/>
  <c r="X213" i="1" s="1"/>
  <c r="X222" i="1" s="1"/>
  <c r="X228" i="1"/>
  <c r="C88" i="10"/>
  <c r="G88" i="10" s="1"/>
  <c r="I88" i="10" s="1"/>
  <c r="X18" i="4"/>
  <c r="T123" i="10"/>
  <c r="O123" i="10"/>
  <c r="C72" i="10"/>
  <c r="G72" i="10" s="1"/>
  <c r="I72" i="10" s="1"/>
  <c r="W108" i="1" l="1"/>
  <c r="X19" i="4" s="1"/>
  <c r="X231" i="1"/>
  <c r="Y11" i="4"/>
  <c r="X79" i="1"/>
  <c r="V46" i="15" s="1"/>
  <c r="V48" i="15" s="1"/>
  <c r="X124" i="10"/>
  <c r="Y53" i="4"/>
  <c r="Y33" i="4"/>
  <c r="V51" i="15" l="1"/>
  <c r="V58" i="15"/>
  <c r="V50" i="15"/>
  <c r="V49" i="15"/>
  <c r="Y40" i="4"/>
  <c r="Y41" i="4" s="1"/>
  <c r="Y58" i="4"/>
  <c r="Y59" i="4" s="1"/>
  <c r="Y55" i="4"/>
  <c r="Y56" i="4" s="1"/>
  <c r="X258" i="1"/>
  <c r="X103" i="1"/>
  <c r="X85" i="1"/>
  <c r="X252" i="1"/>
  <c r="Y60" i="1"/>
  <c r="Y13" i="4"/>
  <c r="Y50" i="4" s="1"/>
  <c r="X240" i="1"/>
  <c r="X241" i="1"/>
  <c r="X121" i="1" l="1"/>
  <c r="X123" i="1" s="1"/>
  <c r="Y26" i="4" s="1"/>
  <c r="X118" i="1"/>
  <c r="Y16" i="4"/>
  <c r="Y25" i="4" s="1"/>
  <c r="X254" i="1"/>
  <c r="X259" i="1" s="1"/>
  <c r="X107" i="1"/>
  <c r="M124" i="10"/>
  <c r="Z7" i="4"/>
  <c r="Y62" i="1"/>
  <c r="Y68" i="4"/>
  <c r="Y43" i="4"/>
  <c r="Y46" i="4" s="1"/>
  <c r="Y34" i="4"/>
  <c r="Y35" i="4" s="1"/>
  <c r="T124" i="10" l="1"/>
  <c r="O124" i="10"/>
  <c r="C73" i="10"/>
  <c r="G73" i="10" s="1"/>
  <c r="I73" i="10" s="1"/>
  <c r="Y49" i="4"/>
  <c r="Y71" i="4" s="1"/>
  <c r="Z31" i="4"/>
  <c r="C89" i="10"/>
  <c r="G89" i="10" s="1"/>
  <c r="I89" i="10" s="1"/>
  <c r="Y18" i="4"/>
  <c r="Y72" i="1"/>
  <c r="Y70" i="1" s="1"/>
  <c r="Y209" i="1"/>
  <c r="Y213" i="1" s="1"/>
  <c r="Y222" i="1" s="1"/>
  <c r="Z8" i="4"/>
  <c r="Z32" i="4" s="1"/>
  <c r="Z52" i="4" s="1"/>
  <c r="Y228" i="1"/>
  <c r="Y22" i="4"/>
  <c r="X120" i="1"/>
  <c r="Y23" i="4" s="1"/>
  <c r="Y63" i="1"/>
  <c r="Z9" i="4" s="1"/>
  <c r="X125" i="10" l="1"/>
  <c r="Z53" i="4"/>
  <c r="Y231" i="1"/>
  <c r="Z11" i="4"/>
  <c r="Y79" i="1"/>
  <c r="W46" i="15" s="1"/>
  <c r="W48" i="15" s="1"/>
  <c r="Z33" i="4"/>
  <c r="X108" i="1"/>
  <c r="Y19" i="4" s="1"/>
  <c r="W58" i="15" l="1"/>
  <c r="W50" i="15"/>
  <c r="W51" i="15"/>
  <c r="W49" i="15"/>
  <c r="Z40" i="4"/>
  <c r="Z41" i="4" s="1"/>
  <c r="Y240" i="1"/>
  <c r="Y241" i="1"/>
  <c r="Y85" i="1"/>
  <c r="Y252" i="1"/>
  <c r="Y258" i="1"/>
  <c r="Y103" i="1"/>
  <c r="Z60" i="1"/>
  <c r="Z13" i="4"/>
  <c r="Z50" i="4" s="1"/>
  <c r="Z58" i="4"/>
  <c r="Z59" i="4" s="1"/>
  <c r="Z55" i="4"/>
  <c r="Z56" i="4" s="1"/>
  <c r="Z68" i="4" l="1"/>
  <c r="Z34" i="4"/>
  <c r="Z35" i="4" s="1"/>
  <c r="Z43" i="4"/>
  <c r="Z46" i="4" s="1"/>
  <c r="Y107" i="1"/>
  <c r="Z16" i="4"/>
  <c r="Z25" i="4" s="1"/>
  <c r="Y254" i="1"/>
  <c r="Y259" i="1" s="1"/>
  <c r="Y121" i="1"/>
  <c r="Y123" i="1" s="1"/>
  <c r="Z26" i="4" s="1"/>
  <c r="Y118" i="1"/>
  <c r="AA7" i="4"/>
  <c r="Z62" i="1"/>
  <c r="Z63" i="1" s="1"/>
  <c r="AA9" i="4" s="1"/>
  <c r="M125" i="10"/>
  <c r="Z22" i="4" l="1"/>
  <c r="Y120" i="1"/>
  <c r="Z23" i="4" s="1"/>
  <c r="Z18" i="4"/>
  <c r="Z72" i="1"/>
  <c r="Z70" i="1" s="1"/>
  <c r="AA8" i="4"/>
  <c r="AA32" i="4" s="1"/>
  <c r="AA52" i="4" s="1"/>
  <c r="Z209" i="1"/>
  <c r="Z213" i="1" s="1"/>
  <c r="Z222" i="1" s="1"/>
  <c r="Z228" i="1"/>
  <c r="Z49" i="4"/>
  <c r="Z71" i="4" s="1"/>
  <c r="AA31" i="4"/>
  <c r="O125" i="10"/>
  <c r="C74" i="10"/>
  <c r="G74" i="10" s="1"/>
  <c r="I74" i="10" s="1"/>
  <c r="T125" i="10"/>
  <c r="C90" i="10"/>
  <c r="G90" i="10" s="1"/>
  <c r="I90" i="10" s="1"/>
  <c r="AA33" i="4" l="1"/>
  <c r="AA40" i="4" s="1"/>
  <c r="AA41" i="4" s="1"/>
  <c r="Z231" i="1"/>
  <c r="X126" i="10"/>
  <c r="AA53" i="4"/>
  <c r="Z79" i="1"/>
  <c r="X46" i="15" s="1"/>
  <c r="X48" i="15" s="1"/>
  <c r="AA11" i="4"/>
  <c r="Y108" i="1"/>
  <c r="Z19" i="4" s="1"/>
  <c r="X58" i="15" l="1"/>
  <c r="X50" i="15"/>
  <c r="X51" i="15"/>
  <c r="X49" i="15"/>
  <c r="Z103" i="1"/>
  <c r="AA13" i="4"/>
  <c r="AA50" i="4" s="1"/>
  <c r="Z85" i="1"/>
  <c r="Z252" i="1"/>
  <c r="Z258" i="1"/>
  <c r="AA60" i="1"/>
  <c r="AA58" i="4"/>
  <c r="AA59" i="4" s="1"/>
  <c r="AA55" i="4"/>
  <c r="AA56" i="4" s="1"/>
  <c r="AA68" i="4"/>
  <c r="AA34" i="4"/>
  <c r="AA35" i="4" s="1"/>
  <c r="AA43" i="4"/>
  <c r="AA46" i="4" s="1"/>
  <c r="Z241" i="1"/>
  <c r="Z240" i="1"/>
  <c r="AA62" i="1" l="1"/>
  <c r="AB7" i="4"/>
  <c r="AA49" i="4"/>
  <c r="AA71" i="4" s="1"/>
  <c r="AB31" i="4"/>
  <c r="M126" i="10"/>
  <c r="Z254" i="1"/>
  <c r="Z259" i="1" s="1"/>
  <c r="Z107" i="1"/>
  <c r="Z121" i="1"/>
  <c r="Z123" i="1" s="1"/>
  <c r="AA26" i="4" s="1"/>
  <c r="Z118" i="1"/>
  <c r="AA16" i="4"/>
  <c r="H105" i="1"/>
  <c r="C91" i="10" l="1"/>
  <c r="G91" i="10" s="1"/>
  <c r="I91" i="10" s="1"/>
  <c r="C75" i="10"/>
  <c r="G75" i="10" s="1"/>
  <c r="I75" i="10" s="1"/>
  <c r="T126" i="10"/>
  <c r="O126" i="10"/>
  <c r="AA22" i="4"/>
  <c r="Z120" i="1"/>
  <c r="AA23" i="4" s="1"/>
  <c r="AA18" i="4"/>
  <c r="AB8" i="4"/>
  <c r="AB32" i="4" s="1"/>
  <c r="AA72" i="1"/>
  <c r="AA209" i="1"/>
  <c r="AA213" i="1" s="1"/>
  <c r="AA222" i="1" s="1"/>
  <c r="AB62" i="1"/>
  <c r="AC8" i="4" s="1"/>
  <c r="AD10" i="4" s="1"/>
  <c r="AA228" i="1"/>
  <c r="AA231" i="1" s="1"/>
  <c r="AA25" i="4"/>
  <c r="C10" i="12"/>
  <c r="AA63" i="1"/>
  <c r="AB9" i="4" s="1"/>
  <c r="AB72" i="1" l="1"/>
  <c r="AA70" i="1"/>
  <c r="AB52" i="4"/>
  <c r="AC32" i="4"/>
  <c r="AD37" i="4" s="1"/>
  <c r="C30" i="12"/>
  <c r="C20" i="12"/>
  <c r="D10" i="12"/>
  <c r="Z108" i="1"/>
  <c r="AA19" i="4" s="1"/>
  <c r="AA240" i="1"/>
  <c r="AA241" i="1"/>
  <c r="AB33" i="4"/>
  <c r="E20" i="12" l="1"/>
  <c r="F20" i="12" s="1"/>
  <c r="I20" i="12" s="1"/>
  <c r="D20" i="12"/>
  <c r="D30" i="12"/>
  <c r="F30" i="12" s="1"/>
  <c r="J20" i="12"/>
  <c r="E10" i="12"/>
  <c r="G10" i="12" s="1"/>
  <c r="J10" i="12" s="1"/>
  <c r="K10" i="12" s="1"/>
  <c r="AB40" i="4"/>
  <c r="AB41" i="4" s="1"/>
  <c r="X127" i="10"/>
  <c r="X128" i="10" s="1"/>
  <c r="X107" i="10" s="1"/>
  <c r="Y107" i="10" s="1"/>
  <c r="Y108" i="10" s="1"/>
  <c r="Y109" i="10" s="1"/>
  <c r="Y110" i="10" s="1"/>
  <c r="Y111" i="10" s="1"/>
  <c r="Y112" i="10" s="1"/>
  <c r="Y113" i="10" s="1"/>
  <c r="Y114" i="10" s="1"/>
  <c r="Y115" i="10" s="1"/>
  <c r="Y116" i="10" s="1"/>
  <c r="Y117" i="10" s="1"/>
  <c r="Y118" i="10" s="1"/>
  <c r="Y119" i="10" s="1"/>
  <c r="Y120" i="10" s="1"/>
  <c r="Y121" i="10" s="1"/>
  <c r="Y122" i="10" s="1"/>
  <c r="Y123" i="10" s="1"/>
  <c r="Y124" i="10" s="1"/>
  <c r="Y125" i="10" s="1"/>
  <c r="Y126" i="10" s="1"/>
  <c r="Y127" i="10" s="1"/>
  <c r="Y128" i="10" s="1"/>
  <c r="AC52" i="4"/>
  <c r="AB53" i="4"/>
  <c r="AA79" i="1"/>
  <c r="Y46" i="15" s="1"/>
  <c r="Y48" i="15" s="1"/>
  <c r="AB11" i="4"/>
  <c r="Y58" i="15" l="1"/>
  <c r="Y50" i="15"/>
  <c r="Y51" i="15"/>
  <c r="Y49" i="15"/>
  <c r="E30" i="12"/>
  <c r="G30" i="12" s="1"/>
  <c r="J30" i="12" s="1"/>
  <c r="K30" i="12" s="1"/>
  <c r="AB68" i="4"/>
  <c r="AB34" i="4"/>
  <c r="AB35" i="4" s="1"/>
  <c r="AB49" i="4" s="1"/>
  <c r="AB71" i="4" s="1"/>
  <c r="AB43" i="4"/>
  <c r="AB46" i="4" s="1"/>
  <c r="AB13" i="4"/>
  <c r="AB50" i="4" s="1"/>
  <c r="V24" i="12" s="1"/>
  <c r="AA258" i="1"/>
  <c r="AA252" i="1"/>
  <c r="AA103" i="1"/>
  <c r="AA85" i="1"/>
  <c r="AB85" i="1" s="1"/>
  <c r="G81" i="1"/>
  <c r="AB55" i="4"/>
  <c r="AB56" i="4" s="1"/>
  <c r="AB58" i="4"/>
  <c r="AB59" i="4" s="1"/>
  <c r="AA107" i="1" l="1"/>
  <c r="AA118" i="1"/>
  <c r="AA254" i="1"/>
  <c r="AA259" i="1" s="1"/>
  <c r="AB16" i="4"/>
  <c r="AA121" i="1"/>
  <c r="AA123" i="1" s="1"/>
  <c r="AB26" i="4" s="1"/>
  <c r="G105" i="1"/>
  <c r="M127" i="10"/>
  <c r="C76" i="10" l="1"/>
  <c r="G76" i="10" s="1"/>
  <c r="I76" i="10" s="1"/>
  <c r="I65" i="10" s="1"/>
  <c r="E20" i="10" s="1"/>
  <c r="E19" i="10" s="1"/>
  <c r="O127" i="10"/>
  <c r="T127" i="10"/>
  <c r="C92" i="10"/>
  <c r="G92" i="10" s="1"/>
  <c r="I92" i="10" s="1"/>
  <c r="I81" i="10" s="1"/>
  <c r="G20" i="10" s="1"/>
  <c r="G19" i="10" s="1"/>
  <c r="I105" i="1"/>
  <c r="D102" i="1"/>
  <c r="G102" i="1" s="1"/>
  <c r="AB25" i="4"/>
  <c r="C11" i="12"/>
  <c r="AA120" i="1"/>
  <c r="AB22" i="4"/>
  <c r="G119" i="1"/>
  <c r="AB18" i="4"/>
  <c r="F107" i="1"/>
  <c r="D116" i="1" l="1"/>
  <c r="G116" i="1" s="1"/>
  <c r="G22" i="4"/>
  <c r="AB23" i="4"/>
  <c r="F120" i="1"/>
  <c r="AA108" i="1"/>
  <c r="AB19" i="4" s="1"/>
  <c r="C21" i="12"/>
  <c r="C31" i="12"/>
  <c r="D11" i="12"/>
  <c r="E11" i="12" s="1"/>
  <c r="G11" i="12" s="1"/>
  <c r="J11" i="12" s="1"/>
  <c r="K11" i="12" s="1"/>
  <c r="Y17" i="4"/>
  <c r="D107" i="1"/>
  <c r="I32" i="10"/>
  <c r="B16" i="10" s="1"/>
  <c r="O128" i="10"/>
  <c r="I19" i="10"/>
  <c r="X17" i="4" l="1"/>
  <c r="D120" i="1"/>
  <c r="D23" i="4" s="1"/>
  <c r="F23" i="4"/>
  <c r="E21" i="12"/>
  <c r="F21" i="12" s="1"/>
  <c r="I21" i="12" s="1"/>
  <c r="D21" i="12"/>
  <c r="D31" i="12"/>
  <c r="F31" i="12" s="1"/>
  <c r="J21" i="12"/>
  <c r="E31" i="12" l="1"/>
  <c r="G31" i="12" s="1"/>
  <c r="J31" i="12" s="1"/>
  <c r="K31" i="12" s="1"/>
  <c r="H30" i="1"/>
  <c r="N2" i="4" s="1"/>
  <c r="D109" i="1"/>
  <c r="G17"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Bell</author>
  </authors>
  <commentList>
    <comment ref="I12" authorId="0" shapeId="0" xr:uid="{00000000-0006-0000-0500-000001000000}">
      <text>
        <r>
          <rPr>
            <b/>
            <sz val="9"/>
            <color indexed="81"/>
            <rFont val="Tahoma"/>
            <family val="2"/>
          </rPr>
          <t>John Bell:</t>
        </r>
        <r>
          <rPr>
            <sz val="9"/>
            <color indexed="81"/>
            <rFont val="Tahoma"/>
            <family val="2"/>
          </rPr>
          <t xml:space="preserve">
This spreadsheet performs only the 10- and 20-year CNA analyses.</t>
        </r>
      </text>
    </comment>
    <comment ref="I14" authorId="0" shapeId="0" xr:uid="{00000000-0006-0000-0500-000002000000}">
      <text>
        <r>
          <rPr>
            <b/>
            <sz val="9"/>
            <color indexed="81"/>
            <rFont val="Tahoma"/>
            <family val="2"/>
          </rPr>
          <t>John Bell:</t>
        </r>
        <r>
          <rPr>
            <sz val="9"/>
            <color indexed="81"/>
            <rFont val="Tahoma"/>
            <family val="2"/>
          </rPr>
          <t xml:space="preserve">
Linked to Input tab</t>
        </r>
      </text>
    </comment>
    <comment ref="I16" authorId="0" shapeId="0" xr:uid="{00000000-0006-0000-0500-000003000000}">
      <text>
        <r>
          <rPr>
            <b/>
            <sz val="9"/>
            <color indexed="81"/>
            <rFont val="Tahoma"/>
            <family val="2"/>
          </rPr>
          <t>John Bell:</t>
        </r>
        <r>
          <rPr>
            <sz val="9"/>
            <color indexed="81"/>
            <rFont val="Tahoma"/>
            <family val="2"/>
          </rPr>
          <t xml:space="preserve">
Linked to input tab.</t>
        </r>
      </text>
    </comment>
    <comment ref="I24" authorId="0" shapeId="0" xr:uid="{00000000-0006-0000-0500-000004000000}">
      <text>
        <r>
          <rPr>
            <b/>
            <sz val="9"/>
            <color indexed="81"/>
            <rFont val="Tahoma"/>
            <family val="2"/>
          </rPr>
          <t>John Bell:</t>
        </r>
        <r>
          <rPr>
            <sz val="9"/>
            <color indexed="81"/>
            <rFont val="Tahoma"/>
            <family val="2"/>
          </rPr>
          <t xml:space="preserve">
Linked to Input tab</t>
        </r>
      </text>
    </comment>
    <comment ref="J24" authorId="0" shapeId="0" xr:uid="{00000000-0006-0000-0500-000005000000}">
      <text>
        <r>
          <rPr>
            <b/>
            <sz val="9"/>
            <color indexed="81"/>
            <rFont val="Tahoma"/>
            <family val="2"/>
          </rPr>
          <t>John Bell:</t>
        </r>
        <r>
          <rPr>
            <sz val="9"/>
            <color indexed="81"/>
            <rFont val="Tahoma"/>
            <family val="2"/>
          </rPr>
          <t xml:space="preserve">
Linked to Input tab</t>
        </r>
      </text>
    </comment>
    <comment ref="N28" authorId="0" shapeId="0" xr:uid="{EFCBF049-9CE4-46F8-96EB-ACF1526348EF}">
      <text>
        <r>
          <rPr>
            <b/>
            <sz val="9"/>
            <color indexed="81"/>
            <rFont val="Tahoma"/>
            <family val="2"/>
          </rPr>
          <t>John Bell:</t>
        </r>
        <r>
          <rPr>
            <sz val="9"/>
            <color indexed="81"/>
            <rFont val="Tahoma"/>
            <family val="2"/>
          </rPr>
          <t xml:space="preserve">
eTool uses preduration avg in yr 1, then inflates. Without looking a component level recreating same calc is not possible.</t>
        </r>
      </text>
    </comment>
    <comment ref="Q30" authorId="0" shapeId="0" xr:uid="{B21EA7CA-9802-4FCC-830D-347EA688FD91}">
      <text>
        <r>
          <rPr>
            <b/>
            <sz val="9"/>
            <color indexed="81"/>
            <rFont val="Tahoma"/>
            <family val="2"/>
          </rPr>
          <t>John Bell:</t>
        </r>
        <r>
          <rPr>
            <sz val="9"/>
            <color indexed="81"/>
            <rFont val="Tahoma"/>
            <family val="2"/>
          </rPr>
          <t xml:space="preserve">
Taken from imported data, without duration unadjusted component level data, otherwise can't be deduced from aggregate </t>
        </r>
      </text>
    </comment>
    <comment ref="H66" authorId="0" shapeId="0" xr:uid="{B178CB1E-B0D1-4FAB-9335-B6DFCF19D518}">
      <text>
        <r>
          <rPr>
            <b/>
            <sz val="9"/>
            <color indexed="81"/>
            <rFont val="Tahoma"/>
            <family val="2"/>
          </rPr>
          <t>John Bell:</t>
        </r>
        <r>
          <rPr>
            <sz val="9"/>
            <color indexed="81"/>
            <rFont val="Tahoma"/>
            <family val="2"/>
          </rPr>
          <t xml:space="preserve">
Changed to hard "0%" to conform (as I believe is the case) to the CAN calculation of "Rel Yr 1" in that assumes only year end inflation applies, 
9/12/17.</t>
        </r>
      </text>
    </comment>
    <comment ref="I66" authorId="0" shapeId="0" xr:uid="{0C50888C-C703-406D-8A8F-63BFC7720248}">
      <text>
        <r>
          <rPr>
            <b/>
            <sz val="9"/>
            <color indexed="81"/>
            <rFont val="Tahoma"/>
            <family val="2"/>
          </rPr>
          <t>John Bell:</t>
        </r>
        <r>
          <rPr>
            <sz val="9"/>
            <color indexed="81"/>
            <rFont val="Tahoma"/>
            <family val="2"/>
          </rPr>
          <t xml:space="preserve">
took out=&lt; in formula and made it only &lt; in year reference.</t>
        </r>
      </text>
    </comment>
    <comment ref="C73" authorId="0" shapeId="0" xr:uid="{BBF964A6-50C0-4E74-9785-F9C5D4F54916}">
      <text>
        <r>
          <rPr>
            <b/>
            <sz val="9"/>
            <color indexed="81"/>
            <rFont val="Tahoma"/>
            <family val="2"/>
          </rPr>
          <t>John Bell:</t>
        </r>
        <r>
          <rPr>
            <sz val="9"/>
            <color indexed="81"/>
            <rFont val="Tahoma"/>
            <family val="2"/>
          </rPr>
          <t xml:space="preserve">
Modified to be a discount from the inflated needs read in from the Financial Schedule. 10/10/17</t>
        </r>
      </text>
    </comment>
    <comment ref="H73" authorId="0" shapeId="0" xr:uid="{976C1945-DF68-4556-8A0B-D454C6BFD9FB}">
      <text>
        <r>
          <rPr>
            <b/>
            <sz val="9"/>
            <color indexed="81"/>
            <rFont val="Tahoma"/>
            <family val="2"/>
          </rPr>
          <t>John Bell:</t>
        </r>
        <r>
          <rPr>
            <sz val="9"/>
            <color indexed="81"/>
            <rFont val="Tahoma"/>
            <family val="2"/>
          </rPr>
          <t xml:space="preserve">
Linked to Input tab.</t>
        </r>
      </text>
    </comment>
    <comment ref="I73" authorId="0" shapeId="0" xr:uid="{8CF46573-D556-488C-A060-AF2DD5339F54}">
      <text>
        <r>
          <rPr>
            <b/>
            <sz val="9"/>
            <color indexed="81"/>
            <rFont val="Tahoma"/>
            <family val="2"/>
          </rPr>
          <t>John Bell:</t>
        </r>
        <r>
          <rPr>
            <sz val="9"/>
            <color indexed="81"/>
            <rFont val="Tahoma"/>
            <family val="2"/>
          </rPr>
          <t xml:space="preserve">
Linked to Input tab.</t>
        </r>
      </text>
    </comment>
    <comment ref="J73" authorId="0" shapeId="0" xr:uid="{0B7DDD78-1578-4BB2-8710-085C488D725E}">
      <text>
        <r>
          <rPr>
            <b/>
            <sz val="9"/>
            <color indexed="81"/>
            <rFont val="Tahoma"/>
            <family val="2"/>
          </rPr>
          <t>John Bell:</t>
        </r>
        <r>
          <rPr>
            <sz val="9"/>
            <color indexed="81"/>
            <rFont val="Tahoma"/>
            <family val="2"/>
          </rPr>
          <t xml:space="preserve">
Linked to Input tab.</t>
        </r>
      </text>
    </comment>
    <comment ref="K73" authorId="0" shapeId="0" xr:uid="{E22AAB24-21CC-4319-858B-A79D2563ADFA}">
      <text>
        <r>
          <rPr>
            <b/>
            <sz val="9"/>
            <color indexed="81"/>
            <rFont val="Tahoma"/>
            <family val="2"/>
          </rPr>
          <t>John Bell:</t>
        </r>
        <r>
          <rPr>
            <sz val="9"/>
            <color indexed="81"/>
            <rFont val="Tahoma"/>
            <family val="2"/>
          </rPr>
          <t xml:space="preserve">
Linked to Input tab.</t>
        </r>
      </text>
    </comment>
    <comment ref="L73" authorId="0" shapeId="0" xr:uid="{EE88E0F9-6363-478F-8FCA-44375A179900}">
      <text>
        <r>
          <rPr>
            <b/>
            <sz val="9"/>
            <color indexed="81"/>
            <rFont val="Tahoma"/>
            <family val="2"/>
          </rPr>
          <t>John Bell:</t>
        </r>
        <r>
          <rPr>
            <sz val="9"/>
            <color indexed="81"/>
            <rFont val="Tahoma"/>
            <family val="2"/>
          </rPr>
          <t xml:space="preserve">
Linked to Input tab.</t>
        </r>
      </text>
    </comment>
    <comment ref="M73" authorId="0" shapeId="0" xr:uid="{2B577E0F-681B-4685-836F-62CD6956E172}">
      <text>
        <r>
          <rPr>
            <b/>
            <sz val="9"/>
            <color indexed="81"/>
            <rFont val="Tahoma"/>
            <family val="2"/>
          </rPr>
          <t>John Bell:</t>
        </r>
        <r>
          <rPr>
            <sz val="9"/>
            <color indexed="81"/>
            <rFont val="Tahoma"/>
            <family val="2"/>
          </rPr>
          <t xml:space="preserve">
Linked to Input tab.</t>
        </r>
      </text>
    </comment>
    <comment ref="N73" authorId="0" shapeId="0" xr:uid="{1892B2B6-91A7-4FFD-B7A4-0E59116BEB51}">
      <text>
        <r>
          <rPr>
            <b/>
            <sz val="9"/>
            <color indexed="81"/>
            <rFont val="Tahoma"/>
            <family val="2"/>
          </rPr>
          <t>John Bell:</t>
        </r>
        <r>
          <rPr>
            <sz val="9"/>
            <color indexed="81"/>
            <rFont val="Tahoma"/>
            <family val="2"/>
          </rPr>
          <t xml:space="preserve">
Linked to Input tab.</t>
        </r>
      </text>
    </comment>
    <comment ref="O73" authorId="0" shapeId="0" xr:uid="{8E9D6902-47EE-4E79-8C03-369A08B12EDD}">
      <text>
        <r>
          <rPr>
            <b/>
            <sz val="9"/>
            <color indexed="81"/>
            <rFont val="Tahoma"/>
            <family val="2"/>
          </rPr>
          <t>John Bell:</t>
        </r>
        <r>
          <rPr>
            <sz val="9"/>
            <color indexed="81"/>
            <rFont val="Tahoma"/>
            <family val="2"/>
          </rPr>
          <t xml:space="preserve">
Linked to Input tab.</t>
        </r>
      </text>
    </comment>
    <comment ref="P73" authorId="0" shapeId="0" xr:uid="{1638B7E8-2DBB-4651-B6D3-3A13468D0CFC}">
      <text>
        <r>
          <rPr>
            <b/>
            <sz val="9"/>
            <color indexed="81"/>
            <rFont val="Tahoma"/>
            <family val="2"/>
          </rPr>
          <t>John Bell:</t>
        </r>
        <r>
          <rPr>
            <sz val="9"/>
            <color indexed="81"/>
            <rFont val="Tahoma"/>
            <family val="2"/>
          </rPr>
          <t xml:space="preserve">
Linked to Input tab.</t>
        </r>
      </text>
    </comment>
    <comment ref="Q73" authorId="0" shapeId="0" xr:uid="{594F26F4-1344-4353-955E-040EECEAB98F}">
      <text>
        <r>
          <rPr>
            <b/>
            <sz val="9"/>
            <color indexed="81"/>
            <rFont val="Tahoma"/>
            <family val="2"/>
          </rPr>
          <t>John Bell:</t>
        </r>
        <r>
          <rPr>
            <sz val="9"/>
            <color indexed="81"/>
            <rFont val="Tahoma"/>
            <family val="2"/>
          </rPr>
          <t xml:space="preserve">
Linked to Input tab.</t>
        </r>
      </text>
    </comment>
    <comment ref="R73" authorId="0" shapeId="0" xr:uid="{4DDDABC4-CE06-4940-8C8D-8836F3A5929B}">
      <text>
        <r>
          <rPr>
            <b/>
            <sz val="9"/>
            <color indexed="81"/>
            <rFont val="Tahoma"/>
            <family val="2"/>
          </rPr>
          <t>John Bell:</t>
        </r>
        <r>
          <rPr>
            <sz val="9"/>
            <color indexed="81"/>
            <rFont val="Tahoma"/>
            <family val="2"/>
          </rPr>
          <t xml:space="preserve">
Linked to Input tab.</t>
        </r>
      </text>
    </comment>
    <comment ref="S73" authorId="0" shapeId="0" xr:uid="{DD4F3C7A-040B-4EEF-A72E-08D1FF58E2FC}">
      <text>
        <r>
          <rPr>
            <b/>
            <sz val="9"/>
            <color indexed="81"/>
            <rFont val="Tahoma"/>
            <family val="2"/>
          </rPr>
          <t>John Bell:</t>
        </r>
        <r>
          <rPr>
            <sz val="9"/>
            <color indexed="81"/>
            <rFont val="Tahoma"/>
            <family val="2"/>
          </rPr>
          <t xml:space="preserve">
Linked to Input tab.</t>
        </r>
      </text>
    </comment>
    <comment ref="T73" authorId="0" shapeId="0" xr:uid="{414F096D-1F53-48ED-AA6C-8A102725CDF4}">
      <text>
        <r>
          <rPr>
            <b/>
            <sz val="9"/>
            <color indexed="81"/>
            <rFont val="Tahoma"/>
            <family val="2"/>
          </rPr>
          <t>John Bell:</t>
        </r>
        <r>
          <rPr>
            <sz val="9"/>
            <color indexed="81"/>
            <rFont val="Tahoma"/>
            <family val="2"/>
          </rPr>
          <t xml:space="preserve">
Linked to Input tab.</t>
        </r>
      </text>
    </comment>
    <comment ref="U73" authorId="0" shapeId="0" xr:uid="{EC896559-FB7B-4A58-B84A-EA516248F915}">
      <text>
        <r>
          <rPr>
            <b/>
            <sz val="9"/>
            <color indexed="81"/>
            <rFont val="Tahoma"/>
            <family val="2"/>
          </rPr>
          <t>John Bell:</t>
        </r>
        <r>
          <rPr>
            <sz val="9"/>
            <color indexed="81"/>
            <rFont val="Tahoma"/>
            <family val="2"/>
          </rPr>
          <t xml:space="preserve">
Linked to Input tab.</t>
        </r>
      </text>
    </comment>
    <comment ref="V73" authorId="0" shapeId="0" xr:uid="{27727819-ED98-4389-A0CE-64A83CB847A4}">
      <text>
        <r>
          <rPr>
            <b/>
            <sz val="9"/>
            <color indexed="81"/>
            <rFont val="Tahoma"/>
            <family val="2"/>
          </rPr>
          <t>John Bell:</t>
        </r>
        <r>
          <rPr>
            <sz val="9"/>
            <color indexed="81"/>
            <rFont val="Tahoma"/>
            <family val="2"/>
          </rPr>
          <t xml:space="preserve">
Linked to Input tab.</t>
        </r>
      </text>
    </comment>
    <comment ref="W73" authorId="0" shapeId="0" xr:uid="{30A3F631-B87F-4648-B56F-6D3AA9D879A6}">
      <text>
        <r>
          <rPr>
            <b/>
            <sz val="9"/>
            <color indexed="81"/>
            <rFont val="Tahoma"/>
            <family val="2"/>
          </rPr>
          <t>John Bell:</t>
        </r>
        <r>
          <rPr>
            <sz val="9"/>
            <color indexed="81"/>
            <rFont val="Tahoma"/>
            <family val="2"/>
          </rPr>
          <t xml:space="preserve">
Linked to Input tab.</t>
        </r>
      </text>
    </comment>
    <comment ref="X73" authorId="0" shapeId="0" xr:uid="{15551E8B-07BA-4834-BD9D-C6115FEBE25C}">
      <text>
        <r>
          <rPr>
            <b/>
            <sz val="9"/>
            <color indexed="81"/>
            <rFont val="Tahoma"/>
            <family val="2"/>
          </rPr>
          <t>John Bell:</t>
        </r>
        <r>
          <rPr>
            <sz val="9"/>
            <color indexed="81"/>
            <rFont val="Tahoma"/>
            <family val="2"/>
          </rPr>
          <t xml:space="preserve">
Linked to Input tab.</t>
        </r>
      </text>
    </comment>
    <comment ref="Y73" authorId="0" shapeId="0" xr:uid="{D4EF64EC-D975-4B6F-939A-99189E1D9281}">
      <text>
        <r>
          <rPr>
            <b/>
            <sz val="9"/>
            <color indexed="81"/>
            <rFont val="Tahoma"/>
            <family val="2"/>
          </rPr>
          <t>John Bell:</t>
        </r>
        <r>
          <rPr>
            <sz val="9"/>
            <color indexed="81"/>
            <rFont val="Tahoma"/>
            <family val="2"/>
          </rPr>
          <t xml:space="preserve">
Linked to Input tab.</t>
        </r>
      </text>
    </comment>
    <comment ref="Z73" authorId="0" shapeId="0" xr:uid="{B0AD0E3C-0530-4188-8798-7A2282052806}">
      <text>
        <r>
          <rPr>
            <b/>
            <sz val="9"/>
            <color indexed="81"/>
            <rFont val="Tahoma"/>
            <family val="2"/>
          </rPr>
          <t>John Bell:</t>
        </r>
        <r>
          <rPr>
            <sz val="9"/>
            <color indexed="81"/>
            <rFont val="Tahoma"/>
            <family val="2"/>
          </rPr>
          <t xml:space="preserve">
Linked to Input tab.</t>
        </r>
      </text>
    </comment>
    <comment ref="AA73" authorId="0" shapeId="0" xr:uid="{1B52DCEA-080E-4A32-952A-86D6B78119AB}">
      <text>
        <r>
          <rPr>
            <b/>
            <sz val="9"/>
            <color indexed="81"/>
            <rFont val="Tahoma"/>
            <family val="2"/>
          </rPr>
          <t>John Bell:</t>
        </r>
        <r>
          <rPr>
            <sz val="9"/>
            <color indexed="81"/>
            <rFont val="Tahoma"/>
            <family val="2"/>
          </rPr>
          <t xml:space="preserve">
Linked to Input tab.</t>
        </r>
      </text>
    </comment>
    <comment ref="H74" authorId="0" shapeId="0" xr:uid="{E1ED51B7-7A45-478D-AB95-B21AE54A5468}">
      <text>
        <r>
          <rPr>
            <b/>
            <sz val="9"/>
            <color indexed="81"/>
            <rFont val="Tahoma"/>
            <family val="2"/>
          </rPr>
          <t>John Bell:</t>
        </r>
        <r>
          <rPr>
            <sz val="9"/>
            <color indexed="81"/>
            <rFont val="Tahoma"/>
            <family val="2"/>
          </rPr>
          <t xml:space="preserve">
Hard coded to 0% for Relative Year 1 to conform, as far as I can tell, to CAN tool, 9/12/17.</t>
        </r>
      </text>
    </comment>
    <comment ref="I74" authorId="0" shapeId="0" xr:uid="{F1A8CCB9-1A39-4F78-BE5B-F168C3FA2A0D}">
      <text>
        <r>
          <rPr>
            <b/>
            <sz val="9"/>
            <color indexed="81"/>
            <rFont val="Tahoma"/>
            <family val="2"/>
          </rPr>
          <t>John Bell:</t>
        </r>
        <r>
          <rPr>
            <sz val="9"/>
            <color indexed="81"/>
            <rFont val="Tahoma"/>
            <family val="2"/>
          </rPr>
          <t xml:space="preserve">
Took out &lt;= in formula and made it only &lt;.</t>
        </r>
      </text>
    </comment>
    <comment ref="C77" authorId="0" shapeId="0" xr:uid="{585FF135-7090-41C1-9AD2-12972B2B9713}">
      <text>
        <r>
          <rPr>
            <b/>
            <sz val="9"/>
            <color indexed="81"/>
            <rFont val="Tahoma"/>
            <family val="2"/>
          </rPr>
          <t>John Bell: Created to allow known inflated (duration-adjusted) need to be discounted.</t>
        </r>
        <r>
          <rPr>
            <sz val="9"/>
            <color indexed="81"/>
            <rFont val="Tahoma"/>
            <family val="2"/>
          </rPr>
          <t xml:space="preserve">
</t>
        </r>
      </text>
    </comment>
    <comment ref="C98" authorId="0" shapeId="0" xr:uid="{81CCE447-632A-4A3C-AF72-0948DFAFFD23}">
      <text>
        <r>
          <rPr>
            <b/>
            <sz val="9"/>
            <color indexed="81"/>
            <rFont val="Tahoma"/>
            <family val="2"/>
          </rPr>
          <t>John Bell:</t>
        </r>
        <r>
          <rPr>
            <sz val="9"/>
            <color indexed="81"/>
            <rFont val="Tahoma"/>
            <family val="2"/>
          </rPr>
          <t xml:space="preserve">
see source note. e-Tool calcs use duration adjusted avg then inflate; w/o components  figure cannot be derived so  yr 1 is taken from etool imported data</t>
        </r>
      </text>
    </comment>
  </commentList>
</comments>
</file>

<file path=xl/sharedStrings.xml><?xml version="1.0" encoding="utf-8"?>
<sst xmlns="http://schemas.openxmlformats.org/spreadsheetml/2006/main" count="801" uniqueCount="572">
  <si>
    <t>Version 2.0</t>
  </si>
  <si>
    <t>INSTRUCTIONS</t>
  </si>
  <si>
    <t xml:space="preserve">To use data related to  a particular CNA e-Tool's exported Financial Schedule, it is necessary to use the Data menu's Links command. </t>
  </si>
  <si>
    <t>Screenshots from the sequence of actions to change the source file to your chosen file appear below.</t>
  </si>
  <si>
    <t>The process takes only about 15 seconds, assuming you know where the exported CNN e-Tool's exported Financial Schedule file is located.</t>
  </si>
  <si>
    <t>Results of applying FHA Required Minimum Balance Guidelines to the project's projected RfR, reflecting any shortfall mitigation after year 10 through the permitted amortization allowance</t>
  </si>
  <si>
    <t>Results reflect these inputs:</t>
  </si>
  <si>
    <t>Initial Deposit</t>
  </si>
  <si>
    <t>Annual Deposit</t>
  </si>
  <si>
    <t>ADDR/unit</t>
  </si>
  <si>
    <t>eTool Data source file</t>
  </si>
  <si>
    <t>FHA Mortgage</t>
  </si>
  <si>
    <t>Amount</t>
  </si>
  <si>
    <t>Coupon</t>
  </si>
  <si>
    <t>Term</t>
  </si>
  <si>
    <t>Amort. Start Date</t>
  </si>
  <si>
    <t>Required Minimum Balance Amortization Mitigation Allowance Percentage</t>
  </si>
  <si>
    <t>Total Sources of Funds in the Reserve for Replacements</t>
  </si>
  <si>
    <t>Total Uses of Funds flowing in the  Reserve for Replacements</t>
  </si>
  <si>
    <t>Excess/Shortfall</t>
  </si>
  <si>
    <t>RY 1-10</t>
  </si>
  <si>
    <t>RY 11+</t>
  </si>
  <si>
    <t>Total</t>
  </si>
  <si>
    <t>Average per unit per year Sources</t>
  </si>
  <si>
    <t>Increase in Avg Deposit</t>
  </si>
  <si>
    <t>Average per unit per year Uses</t>
  </si>
  <si>
    <t>Increase in Avg Need</t>
  </si>
  <si>
    <t>Avg per unit per yr</t>
  </si>
  <si>
    <t>Full Period</t>
  </si>
  <si>
    <t>Note: Figures include interest income; RY 1-10 figures include any initial deposit.</t>
  </si>
  <si>
    <t>This worksheet is the place where the e-Tool data needs to appear.</t>
  </si>
  <si>
    <t xml:space="preserve">To test validated results, a project's CNA e-Tool Financial </t>
  </si>
  <si>
    <t xml:space="preserve">  Schedule must be exported from the CNA e Tool, saved, and then </t>
  </si>
  <si>
    <t xml:space="preserve">  imported or copied to this worksheet in range E2-Y14&gt;&gt;&gt;&gt;&gt;&gt;&gt;&gt;&gt;&gt;</t>
  </si>
  <si>
    <t>Data must be Imported or copied to this worksheet exactly</t>
  </si>
  <si>
    <t>as generated and appear to the right in Columns E-Y, Rows 2-14.</t>
  </si>
  <si>
    <t xml:space="preserve"> (See Note below (Row 80) for the required arrangement of column and row data.)</t>
  </si>
  <si>
    <t>The data may be transferred to this worksheet employing either</t>
  </si>
  <si>
    <t>of two methods: (a) Using the Edit Links command to link</t>
  </si>
  <si>
    <t>this workbook to the Financial Schedule Excel file,</t>
  </si>
  <si>
    <t>or (b) copying-and-pasting the data from the Exported</t>
  </si>
  <si>
    <t>Financial Schedule.</t>
  </si>
  <si>
    <t xml:space="preserve">  Before doing either, you must obtain from the CNA e Tool an exported</t>
  </si>
  <si>
    <t>Financial Schedule and save it as an Excel workbook specifying an Excel format (i.e., choosing .xls or .xlsx).  If you do not specify an Excel file suffix</t>
  </si>
  <si>
    <t>when saving,  the export process places  the data into an HTML formatted-file which will not work in an Excel "file link" or  "copy and paste" process.</t>
  </si>
  <si>
    <t>For possible reference and use by those using this Tool, certain information can be accessed in the four sections below.
   Section I runs the Required Minimum Balance Test and Amortization Test for the eTool's validated results above. 
   Section II derives the unit count and financial factors required elsewhere in this spreadsheet to run these same tests for the results of Trial Deposit inputs. 
   Section III reflects certain results from the application of Trial Deposit inputs calculated on a hidden worksheet called "Engine."
   Section IV contains data used in constructing the graphs on the eTool Data Results and Trial Deposit Results worksheets.</t>
  </si>
  <si>
    <t>Section I. Minimum balance (yr 1-10) and amortization test (yr 11+) for</t>
  </si>
  <si>
    <t>Year</t>
  </si>
  <si>
    <t>the CNA eTool validated Financial Schedule imported or copied above</t>
  </si>
  <si>
    <t>Cum. Amortization (beg. of per.)</t>
  </si>
  <si>
    <t>Cum. Amortization (end of per.)</t>
  </si>
  <si>
    <t>Beg. of Period Principal Balance</t>
  </si>
  <si>
    <t>The Mortgage Data Inputs below - required to run the Amortization Test on the eTool validated results - are read from the "eTool Data Results" tab.</t>
  </si>
  <si>
    <t>End of Period Principal Balance</t>
  </si>
  <si>
    <t>Change in Principal Bal (Amort. Check)</t>
  </si>
  <si>
    <t>Initial Mortgage Amt.</t>
  </si>
  <si>
    <t>Cumulative End-of-Per. Amortization</t>
  </si>
  <si>
    <t>Amortization term</t>
  </si>
  <si>
    <t>Interest Rate (Coupon)</t>
  </si>
  <si>
    <t>Required Min. Bal. / Unit / Year</t>
  </si>
  <si>
    <t>Monthly Pmt. (calc't'd.)</t>
  </si>
  <si>
    <t>Ending RfR Balance (from eTool data)</t>
  </si>
  <si>
    <t>Allowance for RfR deficit offset</t>
  </si>
  <si>
    <t>Req. Min. Balance (from eTool data)</t>
  </si>
  <si>
    <t>e-Tool data Total to Offset (Ending Bal. minus Req. Min.)</t>
  </si>
  <si>
    <t>Initial RfR Deposit Amount</t>
  </si>
  <si>
    <t>Initial Deposit / Unit</t>
  </si>
  <si>
    <t>Allowable Offset minus Required minimum Balance (positive number indicates successful offset).</t>
  </si>
  <si>
    <t>Initial Annual Deposit</t>
  </si>
  <si>
    <t>Required Min. Balance Test</t>
  </si>
  <si>
    <t>Check for Allowable offset (Yr. 11-20)</t>
  </si>
  <si>
    <t>Initial Annual Deposit/unit</t>
  </si>
  <si>
    <t xml:space="preserve"> Excess/Shortfall</t>
  </si>
  <si>
    <t>Number of Units (calc't'd.)</t>
  </si>
  <si>
    <t>Req. Min. Balance Test met (see Note 1 above)</t>
  </si>
  <si>
    <t>For graph: Negative of Total to Offset (Ending Bal. minus Req. Min.)</t>
  </si>
  <si>
    <t>For graph: % of Amortztn Req. to Offset (eTool data Ending Bal. minus Req. Min.)</t>
  </si>
  <si>
    <t>Section II. Determination of certain Financial Factors needed to Recompute</t>
  </si>
  <si>
    <t xml:space="preserve"> trial RfR balances to subject trial results to the Amortization Test</t>
  </si>
  <si>
    <t>Initial Earnings Rate on RfR Balance</t>
  </si>
  <si>
    <t>Relative Year of Change</t>
  </si>
  <si>
    <t>Changed Rate</t>
  </si>
  <si>
    <t>Note 1: RfR balances are assumed to earn interest at the Initial Earnings Rate for the entirety of Relative Year 1.</t>
  </si>
  <si>
    <t>Note 2: A constant rate defaults the Relative Year of Change to 1. Though User Input into the Assessment tool's Financial Factor screen may show a different RY, since there is no change, any year input as the Relative Year of change will have no effect.</t>
  </si>
  <si>
    <t>Escalation Rate on Deposit</t>
  </si>
  <si>
    <t>Initial Rate of Increase on Annual Deposit</t>
  </si>
  <si>
    <t>NA</t>
  </si>
  <si>
    <t>Changed Rate of Increase</t>
  </si>
  <si>
    <t>Note 1: There is no change in the Annual Deposit in Relative Year 1, therefore the Initial Rate of Increase applies to the Deposit in Relative Year 2 as an escalation over the Relative Year 1 Base Annual Deposit.</t>
  </si>
  <si>
    <t>Note: Needs inflation rates are for information only.  Inflated needs are imported/copied from a validated Financial Schedule.</t>
  </si>
  <si>
    <t>Initial Inflation Rate on Capital Needs</t>
  </si>
  <si>
    <t>Note 1: There is no change in any Relative Year 1 Needs based on an inflation rate, therefore the Initial Rate of Increase applies to any Needs in Relative Year 2 as an inflation over any Relative Year 1 Uninflated Need.</t>
  </si>
  <si>
    <t>Section III. Summary of trial input results. More easily read results</t>
  </si>
  <si>
    <t>appear on the "Inputs, Test Results" worksheet.</t>
  </si>
  <si>
    <t>Trial Deposit results Ending RfR Balance</t>
  </si>
  <si>
    <t>Total to Offset (sum of above)</t>
  </si>
  <si>
    <t>For graph: % of Amortztn Req. to Offset (Trial Deposit results Ending Bal. minus Req. Min.)</t>
  </si>
  <si>
    <t>Section IV. Certain Data used in Graphs</t>
  </si>
  <si>
    <t>Note: Trial data</t>
  </si>
  <si>
    <t>Deposits (excludes Interest)</t>
  </si>
  <si>
    <t>Note: Assmt. Tool data</t>
  </si>
  <si>
    <t>Minimum Required Balance</t>
  </si>
  <si>
    <t>Trial Deposit results Total to Offset (Ending Bal. minus Req. Min.)</t>
  </si>
  <si>
    <t>Note re. Required Column and Row order for Importing or copying</t>
  </si>
  <si>
    <t xml:space="preserve"> the eTool's Financial Schedule data.</t>
  </si>
  <si>
    <t>Description</t>
  </si>
  <si>
    <t>Year 01</t>
  </si>
  <si>
    <t>Year 02</t>
  </si>
  <si>
    <t xml:space="preserve"> Et cetera. …</t>
  </si>
  <si>
    <t>Calendar Year</t>
  </si>
  <si>
    <t>Beginning Balance</t>
  </si>
  <si>
    <t>Interest Income</t>
  </si>
  <si>
    <t>Inflated Needs (Withdrawal)</t>
  </si>
  <si>
    <t>Ending Balance</t>
  </si>
  <si>
    <t>Required Minimum Balance</t>
  </si>
  <si>
    <t>Interest Rate on Balance</t>
  </si>
  <si>
    <t>Inflation Rate on Deposit</t>
  </si>
  <si>
    <t>Inflation Rate on Capital Needs</t>
  </si>
  <si>
    <t>RFRR Deposit / Unit / Year</t>
  </si>
  <si>
    <t>Inflated Needs / Unit / Year</t>
  </si>
  <si>
    <t xml:space="preserve"> 1)</t>
  </si>
  <si>
    <t>Data Entry: PROPERTY INFORMATION</t>
  </si>
  <si>
    <t>Project City</t>
  </si>
  <si>
    <t>Anytown</t>
  </si>
  <si>
    <t>Project Name:</t>
  </si>
  <si>
    <t>New Project Apartments</t>
  </si>
  <si>
    <t>Project State</t>
  </si>
  <si>
    <t>Iowa</t>
  </si>
  <si>
    <t>FHA #:</t>
  </si>
  <si>
    <t>SOA</t>
  </si>
  <si>
    <t>SOA per Application</t>
  </si>
  <si>
    <t>Lender</t>
  </si>
  <si>
    <t>Commitment Lender Name</t>
  </si>
  <si>
    <t xml:space="preserve"> 2)</t>
  </si>
  <si>
    <t>RfR Minimum Balance Test Results:  e-TOOL VALIDATED FINANCIAL SCHEDULE DATA</t>
  </si>
  <si>
    <t>YEAR 1-10: REQUIRED MINIMUM BALANCE TEST RESULT</t>
  </si>
  <si>
    <t># of Violations:</t>
  </si>
  <si>
    <t>To See Remaining Min. Balance Violations:</t>
  </si>
  <si>
    <t>click here</t>
  </si>
  <si>
    <t>YEAR 11+: REQUIRED MINIMUM BALANCE TEST RESULT</t>
  </si>
  <si>
    <t>YEAR 11+: AMORTIZATION TEST REQUIRED?</t>
  </si>
  <si>
    <r>
      <t xml:space="preserve">If "REQUIRED", proceed to enter </t>
    </r>
    <r>
      <rPr>
        <b/>
        <i/>
        <u/>
        <sz val="11"/>
        <rFont val="Calibri"/>
        <family val="2"/>
        <scheme val="minor"/>
      </rPr>
      <t>MORTGAGE INFORMATION</t>
    </r>
    <r>
      <rPr>
        <i/>
        <u/>
        <sz val="11"/>
        <rFont val="Calibri"/>
        <family val="2"/>
        <scheme val="minor"/>
      </rPr>
      <t xml:space="preserve"> Below</t>
    </r>
  </si>
  <si>
    <t>To see in simple vertical format the full estimate period Inflated Needs, Minimum Balance and RfR Balance</t>
  </si>
  <si>
    <t xml:space="preserve"> 3)</t>
  </si>
  <si>
    <t>Data Entry: MORTGAGE INFORMATION</t>
  </si>
  <si>
    <t>Mortgage 
Amount:</t>
  </si>
  <si>
    <t>Mortgage Interest Rate (Coupon):</t>
  </si>
  <si>
    <t>Mortgage Term In Years:</t>
  </si>
  <si>
    <t>Enter the Percent of Cumulative Amortization allowable as an offset to Year 11-20 RfR deficits</t>
  </si>
  <si>
    <t>Amortization Start Date:</t>
  </si>
  <si>
    <t xml:space="preserve"> 4)</t>
  </si>
  <si>
    <t>Amortization Test Results:  e-TOOL VALIDATED FINANCIAL SCHEDULE DATA</t>
  </si>
  <si>
    <t>YEARS 11+: AMORTIZATION TEST MITIGATION RESULT</t>
  </si>
  <si>
    <t>OVERALL RESULT:</t>
  </si>
  <si>
    <t>Go To Trial Deposits</t>
  </si>
  <si>
    <t>Go To Attachment Tab</t>
  </si>
  <si>
    <t xml:space="preserve"> </t>
  </si>
  <si>
    <t>e-Tool Data: RY 1-10 Required Min. Balance Test</t>
  </si>
  <si>
    <t>RY 1-10: # of Violations</t>
  </si>
  <si>
    <t>Relative Year</t>
  </si>
  <si>
    <t>e-Tool Data Ending RfR Balance Results</t>
  </si>
  <si>
    <t>Estimate Period Required Minimum Balance</t>
  </si>
  <si>
    <r>
      <t xml:space="preserve">e-Tool Data Req. Min. Bal. Excess </t>
    </r>
    <r>
      <rPr>
        <u/>
        <sz val="10"/>
        <color rgb="FFFF0000"/>
        <rFont val="Calibri"/>
        <family val="2"/>
        <scheme val="minor"/>
      </rPr>
      <t>(Shortfall)</t>
    </r>
  </si>
  <si>
    <t>Required Minimum Balance Test Met?         (See Note 1)</t>
  </si>
  <si>
    <t>e-Tool Data: RY 11+ Required Min. Balance Test</t>
  </si>
  <si>
    <t>RY 11+: # of Violations</t>
  </si>
  <si>
    <t>Required Minimum Balance Test Met?</t>
  </si>
  <si>
    <t>RY 11+ Amortization Test:  Using Validated e-Tool Data Import</t>
  </si>
  <si>
    <t>Amortization Test: 
# of Violations</t>
  </si>
  <si>
    <t>e-Tool Data RfR Balance less Required Minimum Balance</t>
  </si>
  <si>
    <t>Cumulative Amortization Offset* Allowed (Principal Paid x Allowance %)</t>
  </si>
  <si>
    <r>
      <t xml:space="preserve">e-Tool Data Amortization Test Excess </t>
    </r>
    <r>
      <rPr>
        <u/>
        <sz val="10"/>
        <color rgb="FFFF0000"/>
        <rFont val="Calibri"/>
        <family val="2"/>
        <scheme val="minor"/>
      </rPr>
      <t>(Shortfall)</t>
    </r>
  </si>
  <si>
    <t>*Note: The Cumulative Amortization Allowance Offset is the amount paid down on the FHA mortgage times  an allowable factor.  This represents a portion of equity build-up that could, upon a refinancing, provide funds to address a forecasted shortfall of RfR deposits vs capital needs.</t>
  </si>
  <si>
    <t>FOR REFERENCE: e-Tool Data</t>
  </si>
  <si>
    <t>Data Source: Validated CNA e-Tool</t>
  </si>
  <si>
    <t xml:space="preserve">Inflated Needs </t>
  </si>
  <si>
    <t>Estimate Period Required Minimum Balances</t>
  </si>
  <si>
    <t>e-Tool Data Ending RfR Balance</t>
  </si>
  <si>
    <t>PROPERTY INFORMATION</t>
  </si>
  <si>
    <t xml:space="preserve"> 5)</t>
  </si>
  <si>
    <t>Trial Deposit RfR Minimum Balance Test Results:  USER INPUT DATA</t>
  </si>
  <si>
    <t>TRIAL DEPOSIT DATA INPUTS BY USER</t>
  </si>
  <si>
    <t>Initial Rate of Change in Annual Deposit:</t>
  </si>
  <si>
    <t>Rate of Change after the Relative Year of Change:</t>
  </si>
  <si>
    <t>Relative Year of Change:</t>
  </si>
  <si>
    <t>Smallest RY 1-10 RfR margin over RMB</t>
  </si>
  <si>
    <t>eTool data:</t>
  </si>
  <si>
    <t xml:space="preserve">Annual Deposits </t>
  </si>
  <si>
    <t>Ending RfR Trial Dep. vs eTool=*</t>
  </si>
  <si>
    <t>Total Amount</t>
  </si>
  <si>
    <r>
      <t>Approx. Excess</t>
    </r>
    <r>
      <rPr>
        <i/>
        <sz val="8"/>
        <color rgb="FFFF0000"/>
        <rFont val="Calibri"/>
        <family val="2"/>
        <scheme val="minor"/>
      </rPr>
      <t xml:space="preserve"> (deficit) </t>
    </r>
    <r>
      <rPr>
        <i/>
        <sz val="8"/>
        <color theme="1"/>
        <rFont val="Calibri"/>
        <family val="2"/>
        <scheme val="minor"/>
      </rPr>
      <t>/ Unit</t>
    </r>
  </si>
  <si>
    <t>Per Unit</t>
  </si>
  <si>
    <t>YEAR 1-10: MIN. BALANCE TEST MET?</t>
  </si>
  <si>
    <t>YEARS 11+: MIN. BALANCE TEST MET?</t>
  </si>
  <si>
    <t>YEAR 11+: DEFICIT BALANCES MITIGATED?</t>
  </si>
  <si>
    <t>TRIAL DEPOSIT RESULTS:</t>
  </si>
  <si>
    <t>Details: Click Here</t>
  </si>
  <si>
    <t xml:space="preserve">To see in simple vertical format additional data and eTool vs. Trial Deposits results </t>
  </si>
  <si>
    <t>*Notes:</t>
  </si>
  <si>
    <t>Difference Between User Trial Input vs. Validated e-Tool Data</t>
  </si>
  <si>
    <r>
      <t xml:space="preserve">*Total RfR Bal. Increase </t>
    </r>
    <r>
      <rPr>
        <i/>
        <sz val="9"/>
        <color rgb="FFFF0000"/>
        <rFont val="Calibri"/>
        <family val="2"/>
        <scheme val="minor"/>
      </rPr>
      <t>(Decrease)</t>
    </r>
    <r>
      <rPr>
        <i/>
        <sz val="9"/>
        <color theme="1"/>
        <rFont val="Calibri"/>
        <family val="2"/>
        <scheme val="minor"/>
      </rPr>
      <t xml:space="preserve"> At End of Est. Period, Trial Input vs. Validated CNA</t>
    </r>
  </si>
  <si>
    <t>Initial Deposit:</t>
  </si>
  <si>
    <t>Annual Deposits</t>
  </si>
  <si>
    <t>Trial Deposit input</t>
  </si>
  <si>
    <t>eTool data</t>
  </si>
  <si>
    <t>Difference</t>
  </si>
  <si>
    <t>Note: If Trial Deposit inputs match eTool data, above number will be $0.</t>
  </si>
  <si>
    <t>Units</t>
  </si>
  <si>
    <t>Note:To see  Annual RfR ending balance differences</t>
  </si>
  <si>
    <t>Trial Deposit Results: RY 1-10 Required Min. Balance Test</t>
  </si>
  <si>
    <t>Trial Deposit Data Ending RfR Balance Results</t>
  </si>
  <si>
    <r>
      <t xml:space="preserve">Trial Deposit Data Req. Min. Bal. Excess </t>
    </r>
    <r>
      <rPr>
        <u/>
        <sz val="10"/>
        <color rgb="FFFF0000"/>
        <rFont val="Calibri"/>
        <family val="2"/>
        <scheme val="minor"/>
      </rPr>
      <t>(Shortfall)</t>
    </r>
  </si>
  <si>
    <t>Required Minimum Balance Test Met with Trial Inputs? (See Note 1)</t>
  </si>
  <si>
    <t>Trial Deposit Results: RY 11+ Required Min. Balance Test</t>
  </si>
  <si>
    <t>Trial Deposit results: Required Minimum Balance Test Met?</t>
  </si>
  <si>
    <t>Trial Deposit results: RY 11+ Amortization Test</t>
  </si>
  <si>
    <t>Amort. Test: # of Violations</t>
  </si>
  <si>
    <t>Trial Deposit Data RfR Balance less Required Minimum Balance</t>
  </si>
  <si>
    <r>
      <t xml:space="preserve">Trial Deposit Data: Amortization Test Excess </t>
    </r>
    <r>
      <rPr>
        <u/>
        <sz val="10"/>
        <color rgb="FFFF0000"/>
        <rFont val="Calibri"/>
        <family val="2"/>
        <scheme val="minor"/>
      </rPr>
      <t>(Shortfall)</t>
    </r>
  </si>
  <si>
    <t>Trial Deposit Data: Required Minimum Balance Test Met?</t>
  </si>
  <si>
    <t>ADDITIONAL ANALYSIS: e-Tool Data and Trial Deposit RfR Results Comparison</t>
  </si>
  <si>
    <t>Data Source: User Input Trial Deposits</t>
  </si>
  <si>
    <t>Comparison</t>
  </si>
  <si>
    <t>Ending RfR Balance</t>
  </si>
  <si>
    <t>Inflated Needs/Unit Amounts</t>
  </si>
  <si>
    <t>Trial Deposit results - Ending RfR Balance</t>
  </si>
  <si>
    <t>Trial Deposit Results vs. e-Tool Data Results</t>
  </si>
  <si>
    <t>Req. Min. Bal./Unit Amounts</t>
  </si>
  <si>
    <t>RfR Ending Bal./Unit Amounts</t>
  </si>
  <si>
    <t>Total eTool vs. Trial Dep. difference:</t>
  </si>
  <si>
    <t>The columns above with blue texts are generated and imported from the e-Tool. The two rightmost columns show User Input results and the difference between eTool results and User Input results.</t>
  </si>
  <si>
    <t>Note: Annual and total differences should be $0 (excl. rounding) when e-Tool data and user inputs are the same.</t>
  </si>
  <si>
    <t>This schedule is to be attached to the Firm Commitment letter</t>
  </si>
  <si>
    <t>The following amounts and assumptions are incorporated by reference into the terms of the Commitment Letter for the referenced project. Lender may complete the section below.</t>
  </si>
  <si>
    <t>(Figures are e-Tool Data, per the RfR Deposit Test workbook)</t>
  </si>
  <si>
    <t>Project Name</t>
  </si>
  <si>
    <t>FHA #</t>
  </si>
  <si>
    <r>
      <t xml:space="preserve">Date of Commitment letter </t>
    </r>
    <r>
      <rPr>
        <i/>
        <sz val="10"/>
        <color theme="1"/>
        <rFont val="Calibri"/>
        <family val="2"/>
        <scheme val="minor"/>
      </rPr>
      <t>(HUD Input)</t>
    </r>
  </si>
  <si>
    <t>Initial Deposit at Endorsement</t>
  </si>
  <si>
    <t>Initial deposit to the Reserve for Replacement escrow, (incl.any transferred reserves)</t>
  </si>
  <si>
    <t>Annual Deposits to the Reserve for Replacements Escrow (ADRR)</t>
  </si>
  <si>
    <t xml:space="preserve">1st Year ADRR/unit </t>
  </si>
  <si>
    <t>Approved annual % rate(s) of change in ADRR:</t>
  </si>
  <si>
    <t>Number of units</t>
  </si>
  <si>
    <t>1st Year Deposit</t>
  </si>
  <si>
    <t>Initial ADRR per unit x the # of units is the base ADRR below:</t>
  </si>
  <si>
    <t>Adjusted ADRR based on rate(s) of change:</t>
  </si>
  <si>
    <t>Adjusted ADRR per month</t>
  </si>
  <si>
    <t>The ADRR may be amended in future years  based on HUD review of actual repair and replacement</t>
  </si>
  <si>
    <t xml:space="preserve">needs and in any event ADRR will be adjusted based on a new capital needs assessment (CNA) </t>
  </si>
  <si>
    <t>which must be completed not later than 10 years after the date of Endorsement/Final Endorsement.</t>
  </si>
  <si>
    <t>Project Name from Input Sheet</t>
  </si>
  <si>
    <t>FHA # from Input Sheet</t>
  </si>
  <si>
    <t>Structuring Results:</t>
  </si>
  <si>
    <t>Inflated Estimate Period minimum balance</t>
  </si>
  <si>
    <r>
      <t>Excess</t>
    </r>
    <r>
      <rPr>
        <sz val="11"/>
        <color rgb="FFFF0000"/>
        <rFont val="Calibri"/>
        <family val="2"/>
        <scheme val="minor"/>
      </rPr>
      <t>(Shortfall)</t>
    </r>
    <r>
      <rPr>
        <sz val="11"/>
        <color theme="1"/>
        <rFont val="Calibri"/>
        <family val="2"/>
        <scheme val="minor"/>
      </rPr>
      <t xml:space="preserve"> vs. Minimum Balance Requirement</t>
    </r>
  </si>
  <si>
    <t>If Required Minimum Balance is met, "OK" appears. If not "Not OK" appears.</t>
  </si>
  <si>
    <t>If Req. Min. Bal. is not met, does the Amortization Test displayed below mitigate it? (RY 11+)"OK" appears.</t>
  </si>
  <si>
    <t xml:space="preserve">         Margin&gt;min.</t>
  </si>
  <si>
    <t>Cumulative Principal Amortization</t>
  </si>
  <si>
    <t>If a RfR does not exceed Req. Min. Bal. , shortfall as a % of Cumulative Principal Amortization</t>
  </si>
  <si>
    <t>Period Deposits (Original Deposit and/or Net unused Annual Deposit)</t>
  </si>
  <si>
    <t>Opening Initial Deposit Bal. as adjusted</t>
  </si>
  <si>
    <t>Interest Income on RfR Balance</t>
  </si>
  <si>
    <t>Available from Initial Deposit plus RfR Interest Income</t>
  </si>
  <si>
    <t>Funds Needed Beyond ADDR shortfall vs. Infl Needs</t>
  </si>
  <si>
    <t>Ending Original Init Dep Balance as adjusted</t>
  </si>
  <si>
    <t>Annual Deposit as Inflated to RfR</t>
  </si>
  <si>
    <t>Inflated Needs to be withdrawn</t>
  </si>
  <si>
    <t>Net Needed to be withdrawn from Original Deposit as adjusted</t>
  </si>
  <si>
    <t>Net Available in Original Dep as adjusted</t>
  </si>
  <si>
    <t>Net required from Initial Deposit As Adjusted</t>
  </si>
  <si>
    <t>Amount to credit or debit as adj. to Annual Excess Depl account</t>
  </si>
  <si>
    <t>Opening Excess Annual Deposit</t>
  </si>
  <si>
    <t>Opening Excess Annual Deposit period adjustment</t>
  </si>
  <si>
    <t>Closing Excess Annual Depsit Bal as Adjusted</t>
  </si>
  <si>
    <t>Sum of two ending balances</t>
  </si>
  <si>
    <t>Check RfR vs. Sum of above</t>
  </si>
  <si>
    <t>Total Flows into RfR</t>
  </si>
  <si>
    <t>Cumulative Total Flows into RfR</t>
  </si>
  <si>
    <t>Cumulative Inflated Needs</t>
  </si>
  <si>
    <t>Cumulative Funding Surplus (Shortfall)</t>
  </si>
  <si>
    <t>Change in Cumulative Funding Surplus (Shortfall)</t>
  </si>
  <si>
    <t>Ratio of Cumulative Total Flows into the RfR vs. Cumulative Inflated Needs</t>
  </si>
  <si>
    <t>Change in Ratio (Large Negative Changes pose Increased Risk)</t>
  </si>
  <si>
    <t>Ratio of Period Needs vs. Total needs</t>
  </si>
  <si>
    <t>Cumulative Annual Needs vs. Total</t>
  </si>
  <si>
    <t>Ratio of Inflated Need vs. Annual Dep.</t>
  </si>
  <si>
    <t>Annual Escalated Deposit per Unit</t>
  </si>
  <si>
    <t>Annual Transfers from Init. Dep. + Int. Inc.  per Unit</t>
  </si>
  <si>
    <t>Annual Inflated Needs per Unit</t>
  </si>
  <si>
    <t>Annual Minimum Balance per Unit</t>
  </si>
  <si>
    <t>Annual RfR per Unit</t>
  </si>
  <si>
    <t>Use the 1, 2, and 3 in the upper left margin, or the + and - signs, to  show or hide grouped rows to allow useful views of this spreadsheet.</t>
  </si>
  <si>
    <t>Named Range for data replacement menu</t>
  </si>
  <si>
    <t xml:space="preserve">Notes regarding this spreadsheet: </t>
  </si>
  <si>
    <t>Input only in the blue cells.</t>
  </si>
  <si>
    <t>Replace eTool data?</t>
  </si>
  <si>
    <t>This spreadsheet performs only the 10- and 20-year CNA analyses.</t>
  </si>
  <si>
    <t>YES</t>
  </si>
  <si>
    <t>Certain other calculations performed herein may differ slightly from those performed in the CNA e-tool.</t>
  </si>
  <si>
    <t>Additional inputs</t>
  </si>
  <si>
    <t>Participants</t>
  </si>
  <si>
    <t>Financial Factors</t>
  </si>
  <si>
    <t>The interest calculations do not, for example, at this point, reflect average balance interest earnings.</t>
  </si>
  <si>
    <t xml:space="preserve"> Initial Deposit</t>
  </si>
  <si>
    <t>Property</t>
  </si>
  <si>
    <r>
      <t xml:space="preserve">Use the </t>
    </r>
    <r>
      <rPr>
        <b/>
        <sz val="9"/>
        <color theme="1"/>
        <rFont val="Calibri"/>
        <family val="2"/>
        <scheme val="minor"/>
      </rPr>
      <t>1</t>
    </r>
    <r>
      <rPr>
        <sz val="9"/>
        <color theme="1"/>
        <rFont val="Calibri"/>
        <family val="2"/>
        <scheme val="minor"/>
      </rPr>
      <t xml:space="preserve"> and</t>
    </r>
    <r>
      <rPr>
        <b/>
        <sz val="9"/>
        <color theme="1"/>
        <rFont val="Calibri"/>
        <family val="2"/>
        <scheme val="minor"/>
      </rPr>
      <t xml:space="preserve"> 2</t>
    </r>
    <r>
      <rPr>
        <sz val="9"/>
        <color theme="1"/>
        <rFont val="Calibri"/>
        <family val="2"/>
        <scheme val="minor"/>
      </rPr>
      <t xml:space="preserve"> in the upper left margin, or the </t>
    </r>
    <r>
      <rPr>
        <b/>
        <sz val="9"/>
        <color theme="1"/>
        <rFont val="Calibri"/>
        <family val="2"/>
        <scheme val="minor"/>
      </rPr>
      <t>+</t>
    </r>
    <r>
      <rPr>
        <sz val="9"/>
        <color theme="1"/>
        <rFont val="Calibri"/>
        <family val="2"/>
        <scheme val="minor"/>
      </rPr>
      <t xml:space="preserve"> and </t>
    </r>
    <r>
      <rPr>
        <b/>
        <sz val="9"/>
        <color theme="1"/>
        <rFont val="Calibri"/>
        <family val="2"/>
        <scheme val="minor"/>
      </rPr>
      <t>-</t>
    </r>
    <r>
      <rPr>
        <sz val="9"/>
        <color theme="1"/>
        <rFont val="Calibri"/>
        <family val="2"/>
        <scheme val="minor"/>
      </rPr>
      <t xml:space="preserve"> signs, to  show or hide grouped rows to allow useful views of this spreadsheet.</t>
    </r>
  </si>
  <si>
    <t>First Annual Deposit</t>
  </si>
  <si>
    <t>Sites</t>
  </si>
  <si>
    <t>First Annual Withdrawal</t>
  </si>
  <si>
    <t>Unit Type Definition</t>
  </si>
  <si>
    <t>Estimate Period</t>
  </si>
  <si>
    <t>Not applicable to this spreadsheet</t>
  </si>
  <si>
    <t>Min. RfR Balance Per Unit</t>
  </si>
  <si>
    <t>&lt;-- App 5.G.C.3.d. (1)</t>
  </si>
  <si>
    <t>Amortization information</t>
  </si>
  <si>
    <t>Buildings</t>
  </si>
  <si>
    <t>App 5.G.C.3.a. --&gt;</t>
  </si>
  <si>
    <t>Min. RFR Balance % of Needs</t>
  </si>
  <si>
    <t>&lt;-- App 5.G.C.3.d. (2?)</t>
  </si>
  <si>
    <t>Mortgage Amount</t>
  </si>
  <si>
    <t>Units and Common Spaces</t>
  </si>
  <si>
    <t>App 5.G.C.3.b. --&gt;</t>
  </si>
  <si>
    <t>YR-1 Annual deposit Per Unit</t>
  </si>
  <si>
    <t>Required Minimum RFR</t>
  </si>
  <si>
    <t>TBD</t>
  </si>
  <si>
    <t>Mortgage Coupon</t>
  </si>
  <si>
    <t>Utility Type usage</t>
  </si>
  <si>
    <t>First Year RFR</t>
  </si>
  <si>
    <t>Amortization begins</t>
  </si>
  <si>
    <t>Note: last payment:</t>
  </si>
  <si>
    <t>Inspection Samples</t>
  </si>
  <si>
    <t xml:space="preserve">Type of change: 1=one time; 2=simple annual; 3=compounding      --v        </t>
  </si>
  <si>
    <t>Components</t>
  </si>
  <si>
    <t>(See Appendix 5, p. 153 for details)</t>
  </si>
  <si>
    <t xml:space="preserve">Initial/Start rate </t>
  </si>
  <si>
    <t>Add Rate</t>
  </si>
  <si>
    <t>RY of Change after Yr ("rarely more than 3")</t>
  </si>
  <si>
    <t>Units in project</t>
  </si>
  <si>
    <t>Alternatives</t>
  </si>
  <si>
    <t>App 5.G.C.3.c. --&gt;</t>
  </si>
  <si>
    <t>Note: mortgage per unit</t>
  </si>
  <si>
    <t>Repair Replace Recommendation</t>
  </si>
  <si>
    <t>Annual compounding inflation rate</t>
  </si>
  <si>
    <t>Capital Needs</t>
  </si>
  <si>
    <t>HUD minimum balance uninflated data</t>
  </si>
  <si>
    <t xml:space="preserve">Uninflated annual average minimums:               </t>
  </si>
  <si>
    <t>Narrative</t>
  </si>
  <si>
    <t>Simple Interest earnings rate</t>
  </si>
  <si>
    <t>RfR Balance</t>
  </si>
  <si>
    <r>
      <t xml:space="preserve">Ten-year uninflated needs total </t>
    </r>
    <r>
      <rPr>
        <sz val="11"/>
        <color rgb="FFFF0000"/>
        <rFont val="Calibri"/>
        <family val="2"/>
        <scheme val="minor"/>
      </rPr>
      <t>(not preduration as eTool calculates it)</t>
    </r>
  </si>
  <si>
    <t>Click to Min. Analysis</t>
  </si>
  <si>
    <t>Click to go to Needs input</t>
  </si>
  <si>
    <t>Click to go to graphs</t>
  </si>
  <si>
    <t>Twenty-year uninflated needs total</t>
  </si>
  <si>
    <t>Alternative Interest Earnings data</t>
  </si>
  <si>
    <t>Initial Earnings rate on RfR Balance</t>
  </si>
  <si>
    <t>Rate after any Change Date</t>
  </si>
  <si>
    <t>Change Date</t>
  </si>
  <si>
    <t>Repair Replace Decision</t>
  </si>
  <si>
    <t>LoV Admin</t>
  </si>
  <si>
    <t>Reserve Comments</t>
  </si>
  <si>
    <t>Guidance</t>
  </si>
  <si>
    <t>The above matrix can be used to define a starting Inflation Rate for the 'Annual Depots'</t>
  </si>
  <si>
    <t>and 'Capital Needs', as well as the starting Interest Rate for 'RfR Balance' by entering a</t>
  </si>
  <si>
    <t>rate(e.g. 2 for 2%) in the Start Rate column.</t>
  </si>
  <si>
    <t>If a rate change is planned, the new rate can be added into the Add. Rate column and</t>
  </si>
  <si>
    <t>the Relative Year that the new rate will take affect into the RY of Change column.</t>
  </si>
  <si>
    <t>e.g. If the Annual Deposit inflates at a rate of 2% for the first 5 years followed by 3%</t>
  </si>
  <si>
    <t>for the remaining 7 years of a 12yr CAN, the following can be interfered: 2/3/6</t>
  </si>
  <si>
    <t>&lt;&lt;&lt;</t>
  </si>
  <si>
    <t xml:space="preserve">When sheet is unprotected, Click on this row 55 margin + or - sign to show or hide rows 1-54 which include the input cells and structuring results and then click the hyperlink below to </t>
  </si>
  <si>
    <t>See input, summary and violation status</t>
  </si>
  <si>
    <t>Year of Deposit or Withdraw</t>
  </si>
  <si>
    <t>Totals</t>
  </si>
  <si>
    <t>Year ending</t>
  </si>
  <si>
    <t>RfR Beginning Balance</t>
  </si>
  <si>
    <t>Times Assumed Earnings rate of</t>
  </si>
  <si>
    <t>Interest Income on RfR balance</t>
  </si>
  <si>
    <t>RfR balance before RfR deposit</t>
  </si>
  <si>
    <t>Base Annual RfR Deposit</t>
  </si>
  <si>
    <t>Times Increase rate on Deposit</t>
  </si>
  <si>
    <t>Calculated cumulative inflation</t>
  </si>
  <si>
    <t>Inflationary Increase in Annual Deposit</t>
  </si>
  <si>
    <t>RfR Deposit (as inflated)</t>
  </si>
  <si>
    <t>RfR balance Available for Needs</t>
  </si>
  <si>
    <r>
      <rPr>
        <i/>
        <sz val="10"/>
        <color theme="0" tint="-0.499984740745262"/>
        <rFont val="Calibri"/>
        <family val="2"/>
        <scheme val="minor"/>
      </rPr>
      <t xml:space="preserve">Subtotal: Increase in RfR balance </t>
    </r>
    <r>
      <rPr>
        <sz val="9"/>
        <color theme="0" tint="-0.499984740745262"/>
        <rFont val="Calibri"/>
        <family val="2"/>
        <scheme val="minor"/>
      </rPr>
      <t>(Interest + inflated RfR deposit)</t>
    </r>
  </si>
  <si>
    <t>Duration Adjusted Uninflated Needs</t>
  </si>
  <si>
    <t>Needs Inflation rate</t>
  </si>
  <si>
    <t>Inflation in Needs Amount</t>
  </si>
  <si>
    <t>Corresponding deflation factor</t>
  </si>
  <si>
    <t>Lowest RfR balance years 1-10</t>
  </si>
  <si>
    <t>Lowest RfR balance years 11-20</t>
  </si>
  <si>
    <t>Note: Highest Annual Withdrawal to equalize Sources and Needs graphs scales</t>
  </si>
  <si>
    <t>Net Annual Change in RfR balance</t>
  </si>
  <si>
    <t>Minimum Balances Analysis Years 1-10</t>
  </si>
  <si>
    <t>Minimum HUD standard (Total needs uninflated/Estimate Period x needs inflation rate)</t>
  </si>
  <si>
    <t>10-year period total needs - ten year average</t>
  </si>
  <si>
    <t>Not applicable</t>
  </si>
  <si>
    <t xml:space="preserve"> Approx. offsets needed</t>
  </si>
  <si>
    <t>Initial dep.</t>
  </si>
  <si>
    <t>Ann dep.</t>
  </si>
  <si>
    <t>20 year equal to eTool (NOT 10 Yr) Minimum Balance-inflated</t>
  </si>
  <si>
    <t>Margin exceeding Minimum Balance</t>
  </si>
  <si>
    <t>N/A</t>
  </si>
  <si>
    <t>Min. Balance/Mitigation Analysis Years 1-10,11-end of Est. Per.</t>
  </si>
  <si>
    <t>Estimate period total needs - total period average</t>
  </si>
  <si>
    <t>Estimate Period Minimum Balance-inflated</t>
  </si>
  <si>
    <t>Lowest margin, years 1-10</t>
  </si>
  <si>
    <t>Year of Lowest margin</t>
  </si>
  <si>
    <t>Lowest margin, years 11-20</t>
  </si>
  <si>
    <t>Minimum Balance Met-Yrs 1-10</t>
  </si>
  <si>
    <t>Violations</t>
  </si>
  <si>
    <t>Minimum Balance Met-Yrs. 11-end of Est. Per.?</t>
  </si>
  <si>
    <t>If Min. Balance is not met, does principal amortization calculated below mitigate it?</t>
  </si>
  <si>
    <t>Loan Amortization Test for Outyear Deficits-Yrs 11+</t>
  </si>
  <si>
    <t>Original Mortgage Amount</t>
  </si>
  <si>
    <t>Mtg. safe harbor</t>
  </si>
  <si>
    <t>Cumulative Mortgage Payments</t>
  </si>
  <si>
    <t>Mortgage Balance End of Period</t>
  </si>
  <si>
    <t xml:space="preserve"> Apx. offsets needed</t>
  </si>
  <si>
    <t>Amount Paid</t>
  </si>
  <si>
    <t>Cumulative Paid (formula check)</t>
  </si>
  <si>
    <t>Mitigant available = X% of cumulative mortgage principal paid</t>
  </si>
  <si>
    <t>Margin Exceeding Allowed % of Amortization Test</t>
  </si>
  <si>
    <t>Are Shortfalls &lt;Allowed % of Principal Paydown</t>
  </si>
  <si>
    <t xml:space="preserve">App 5.G.C.3.d.(4) </t>
  </si>
  <si>
    <t>% of RfR plus Req. Min. Bal. as % of Cum. Amort.</t>
  </si>
  <si>
    <t>Graph data section</t>
  </si>
  <si>
    <t>Total Flowing into the R4R</t>
  </si>
  <si>
    <t>Total Flowing out of the R4R</t>
  </si>
  <si>
    <t>Net Annual Change in R4R</t>
  </si>
  <si>
    <t>Accumulated Sources</t>
  </si>
  <si>
    <t>Accumulated Uses</t>
  </si>
  <si>
    <t>Note: Gap between highest cumulative R4R Sources and Needs to equalize graphs scales</t>
  </si>
  <si>
    <t>Accumulated Gap</t>
  </si>
  <si>
    <t>Location of Gap line</t>
  </si>
  <si>
    <t>RfR shortfall vs. minimum requiring offset (inverse of green line below)</t>
  </si>
  <si>
    <t>Allowed % of cumulative amortization (beg. Yr 11)</t>
  </si>
  <si>
    <t>Note: because of the complexity of RfR calculations, calculated figures are approximate.</t>
  </si>
  <si>
    <t>Significant Increases in Deposits indicate Risk that should be considered even in light of an Amortization Test mitigation.</t>
  </si>
  <si>
    <t>Entries can be made in combination, for example, a One-Time RY 11 Deposit can be combined with an additional RY 11 Annual Deposit.</t>
  </si>
  <si>
    <r>
      <rPr>
        <sz val="11"/>
        <color rgb="FFC00000"/>
        <rFont val="Calibri"/>
        <family val="2"/>
        <scheme val="minor"/>
      </rPr>
      <t xml:space="preserve">RY 1 Annual Deposit </t>
    </r>
    <r>
      <rPr>
        <sz val="11"/>
        <color theme="1"/>
        <rFont val="Calibri"/>
        <family val="2"/>
        <scheme val="minor"/>
      </rPr>
      <t>Needed to meet YR 11+ Req. Min. Balance</t>
    </r>
  </si>
  <si>
    <t>Additional Analysis</t>
  </si>
  <si>
    <t>Inputting figures in the turquoise cells below will alter the figures to the left.</t>
  </si>
  <si>
    <t>Remove entries to return to the Trial Deposit results.</t>
  </si>
  <si>
    <t>Lookup</t>
  </si>
  <si>
    <t>1 / 2 / units</t>
  </si>
  <si>
    <t>Calc't'd</t>
  </si>
  <si>
    <t>3 x 4</t>
  </si>
  <si>
    <t>Reference</t>
  </si>
  <si>
    <t>5 + 6</t>
  </si>
  <si>
    <t>7 / 6</t>
  </si>
  <si>
    <t>Period for Adjustment Analysis</t>
  </si>
  <si>
    <r>
      <t xml:space="preserve">Largest shortfall </t>
    </r>
    <r>
      <rPr>
        <sz val="8"/>
        <color rgb="FFFF0000"/>
        <rFont val="Calibri"/>
        <family val="2"/>
        <scheme val="minor"/>
      </rPr>
      <t>(surplus)</t>
    </r>
    <r>
      <rPr>
        <sz val="8"/>
        <color theme="1"/>
        <rFont val="Calibri"/>
        <family val="2"/>
        <scheme val="minor"/>
      </rPr>
      <t xml:space="preserve"> vs. Req. Min. RfR Bal.</t>
    </r>
  </si>
  <si>
    <t>Year Occurr-ing</t>
  </si>
  <si>
    <t>Non-discounted Additional RY 1 Ann Dep per unit needed to counter shortfall</t>
  </si>
  <si>
    <t>Approx. discounting factor to adjust for escal and  interest inc</t>
  </si>
  <si>
    <t>Adjusted Discounted Additional RY 1 Ann Dep per unit to counter shortfall</t>
  </si>
  <si>
    <t>Trial Deposit data per unit Annual Deposit entry  in RY 1</t>
  </si>
  <si>
    <t>Approx. Total RY 1 Ann. Dep. To counter shortfall</t>
  </si>
  <si>
    <t>% Extra Ann. Dep./ Unit needed in RY 1</t>
  </si>
  <si>
    <t>Test an entry from Column 5, Additional RY 1 Annual Deposit per unit, to see results in Graph</t>
  </si>
  <si>
    <t>Relative Years 11-15</t>
  </si>
  <si>
    <t>Relative Years 11-19</t>
  </si>
  <si>
    <t>Relative Years 11-20</t>
  </si>
  <si>
    <t>RY 1 Additional Ann. Dep. Adj. test:</t>
  </si>
  <si>
    <r>
      <rPr>
        <sz val="11"/>
        <color rgb="FFC00000"/>
        <rFont val="Calibri"/>
        <family val="2"/>
        <scheme val="minor"/>
      </rPr>
      <t xml:space="preserve">RY 11 One-Time Deposit </t>
    </r>
    <r>
      <rPr>
        <sz val="11"/>
        <color theme="1"/>
        <rFont val="Calibri"/>
        <family val="2"/>
        <scheme val="minor"/>
      </rPr>
      <t>Needed to meet YR 11+ Req. Min. Balance</t>
    </r>
  </si>
  <si>
    <t>1 x 3</t>
  </si>
  <si>
    <t>4 / units</t>
  </si>
  <si>
    <r>
      <t xml:space="preserve">Largest shortfall </t>
    </r>
    <r>
      <rPr>
        <sz val="8"/>
        <color rgb="FFFF0000"/>
        <rFont val="Calibri"/>
        <family val="2"/>
        <scheme val="minor"/>
      </rPr>
      <t>(surplus)</t>
    </r>
    <r>
      <rPr>
        <sz val="8"/>
        <color theme="1"/>
        <rFont val="Calibri"/>
        <family val="2"/>
        <scheme val="minor"/>
      </rPr>
      <t xml:space="preserve"> vs. Req. Min. RfR Bal. (see above)</t>
    </r>
  </si>
  <si>
    <t>Year Occurr-ing (see above)</t>
  </si>
  <si>
    <t>Approx. discounting factor to adjust for interest inc to RY 1</t>
  </si>
  <si>
    <r>
      <t xml:space="preserve">Adjusted One-Time RY 11 Dep to counter shortfall </t>
    </r>
    <r>
      <rPr>
        <sz val="8"/>
        <color rgb="FFFF0000"/>
        <rFont val="Calibri"/>
        <family val="2"/>
        <scheme val="minor"/>
      </rPr>
      <t>(surplus)</t>
    </r>
  </si>
  <si>
    <r>
      <t xml:space="preserve">One-Time RY 11 Dep to counter shortfall </t>
    </r>
    <r>
      <rPr>
        <sz val="8"/>
        <color rgb="FFFF0000"/>
        <rFont val="Calibri"/>
        <family val="2"/>
        <scheme val="minor"/>
      </rPr>
      <t>(surplus)</t>
    </r>
    <r>
      <rPr>
        <sz val="8"/>
        <color theme="1"/>
        <rFont val="Calibri"/>
        <family val="2"/>
        <scheme val="minor"/>
      </rPr>
      <t xml:space="preserve"> per unit</t>
    </r>
  </si>
  <si>
    <t>Note: Ending RfR Balance on RY of Largest Shortfall</t>
  </si>
  <si>
    <t>Test an entry from Column 4, One-Time RY 11 Deposit, to see results in Graph</t>
  </si>
  <si>
    <t>RY 11 One-Time Dep. Adj. test:</t>
  </si>
  <si>
    <t>RY20 Ending RfR Balance:</t>
  </si>
  <si>
    <r>
      <rPr>
        <sz val="11"/>
        <color rgb="FFC00000"/>
        <rFont val="Calibri"/>
        <family val="2"/>
        <scheme val="minor"/>
      </rPr>
      <t xml:space="preserve">RY 11 Annual Deposit </t>
    </r>
    <r>
      <rPr>
        <sz val="11"/>
        <color theme="1"/>
        <rFont val="Calibri"/>
        <family val="2"/>
        <scheme val="minor"/>
      </rPr>
      <t>Needed to meet YR 11+ Req. Min. Balance</t>
    </r>
  </si>
  <si>
    <t>Additional RY 11  Ann Dep per unit needed to counter shortfall</t>
  </si>
  <si>
    <t>Adjusted Discounted Additional RY 11 Ann Dep per unit to counter shortfall</t>
  </si>
  <si>
    <t>RY 10  Inflated Ann Dep per unit resulting from the RY 1 Ann Dep. that passes RY 1-10 Min. Bal.</t>
  </si>
  <si>
    <t>Approx. Total RY 11 Ann. Dep. To counter shortfall</t>
  </si>
  <si>
    <t>% Extra Ann. Dep./ Unit needed in RY 11 v. RY 10</t>
  </si>
  <si>
    <t>Test an entry from Column 5, Additional RY 11 Annual Deposit per unit, to see results in Graph</t>
  </si>
  <si>
    <t>RY 11 Additional Ann. Dep. Adj. test:</t>
  </si>
  <si>
    <t>Debt Service Coverage Analysis</t>
  </si>
  <si>
    <t xml:space="preserve"> Using ADDR/unit changes in RY 1</t>
  </si>
  <si>
    <t>RY 1</t>
  </si>
  <si>
    <t>RY 1-10 Average w/escalation</t>
  </si>
  <si>
    <t>RY 11</t>
  </si>
  <si>
    <t>RY 11+ Average w/escalation</t>
  </si>
  <si>
    <t>Final Estimate Period RY</t>
  </si>
  <si>
    <t>Total Annual Deposit to RfR</t>
  </si>
  <si>
    <t>Per Unit Annual Deposit to RfR</t>
  </si>
  <si>
    <t>% Change from RY</t>
  </si>
  <si>
    <t>RY 1 ADDR per unit in Trial Dep. Worksheet:</t>
  </si>
  <si>
    <t>Add (Subtract) per unit ADDR to test</t>
  </si>
  <si>
    <t>Total RY 1 ADDR per unit to test:</t>
  </si>
  <si>
    <t>Assuming DSC of:</t>
  </si>
  <si>
    <t xml:space="preserve"> and per unit Debt Service of:</t>
  </si>
  <si>
    <t>Deduced per unit NOI RY 1:</t>
  </si>
  <si>
    <t>Additional (Lesser) NOI in RY 1 to test</t>
  </si>
  <si>
    <t>Adjusted Deduced per unit NOI</t>
  </si>
  <si>
    <t>Resutling DSC from adding (subtrating) ADDR in RY 1</t>
  </si>
  <si>
    <t xml:space="preserve"> P&amp;I and Debt Service</t>
  </si>
  <si>
    <t>Mortgage amount</t>
  </si>
  <si>
    <t>Mortgage coupon</t>
  </si>
  <si>
    <t>Mortgage term</t>
  </si>
  <si>
    <t>Monthly P&amp;I</t>
  </si>
  <si>
    <t xml:space="preserve"> Times 12 months = Annual P&amp; I</t>
  </si>
  <si>
    <t>Divided by # of Units</t>
  </si>
  <si>
    <t>Equals P&amp; I per unit per year</t>
  </si>
  <si>
    <t>Mortgage Constant</t>
  </si>
  <si>
    <t>MIP</t>
  </si>
  <si>
    <t>Total All-In Cost of DSC calculations</t>
  </si>
  <si>
    <t>Times Mortgage Amount</t>
  </si>
  <si>
    <t>Equals debt service w MIP</t>
  </si>
  <si>
    <t>Equals Intial Debt Service annualized per unit per year</t>
  </si>
  <si>
    <t>Preliminary Step 2 - Generating Financial Schedule eTool data</t>
  </si>
  <si>
    <t>Preliminary Step 1  - Financial Factors Inputs</t>
  </si>
  <si>
    <t>Preliminary Step 3 - Generating Financial Schedule eTool data</t>
  </si>
  <si>
    <r>
      <rPr>
        <i/>
        <sz val="11"/>
        <color theme="1"/>
        <rFont val="Calibri"/>
        <family val="2"/>
        <scheme val="minor"/>
      </rPr>
      <t>Choose A or B</t>
    </r>
    <r>
      <rPr>
        <sz val="11"/>
        <color theme="1"/>
        <rFont val="Calibri"/>
        <family val="2"/>
        <scheme val="minor"/>
      </rPr>
      <t xml:space="preserve">:  (A)  Link the </t>
    </r>
    <r>
      <rPr>
        <i/>
        <sz val="11"/>
        <color theme="1"/>
        <rFont val="Calibri"/>
        <family val="2"/>
        <scheme val="minor"/>
      </rPr>
      <t>Property Name</t>
    </r>
    <r>
      <rPr>
        <sz val="11"/>
        <color theme="1"/>
        <rFont val="Calibri"/>
        <family val="2"/>
        <scheme val="minor"/>
      </rPr>
      <t xml:space="preserve"> Financial Schedule file to this spreadsheet by using the "Change Source" command sequence under the "</t>
    </r>
    <r>
      <rPr>
        <b/>
        <sz val="11"/>
        <color theme="1"/>
        <rFont val="Calibri"/>
        <family val="2"/>
        <scheme val="minor"/>
      </rPr>
      <t>Data, Edit Links"</t>
    </r>
    <r>
      <rPr>
        <sz val="11"/>
        <color theme="1"/>
        <rFont val="Calibri"/>
        <family val="2"/>
        <scheme val="minor"/>
      </rPr>
      <t xml:space="preserve"> menu sequence - this Tool is set up to have an the already-established file link embedded in it, which the user will have to update.  See detailed instruction snips below for how to change a "source" file; (B) Copy range B1.V13 of the Property Name Financial Schedule to cell E2 of "eTool Data, Calculations" worksheet of this tool.</t>
    </r>
  </si>
  <si>
    <t>Step 4 - Populate the eTool Data</t>
  </si>
  <si>
    <t>Step 5 - Examine the eTool Data's Pass Fail Status</t>
  </si>
  <si>
    <t>Step 6 - If needed examine the eTool Data Analysis and run the Amortization test</t>
  </si>
  <si>
    <t>To create a record of the eTool data analysis, save the completed HUD RfR Deposit Test with an appropriate project file name such as "Project Name, Final RfR Deposit Test Tool, MM.DD.YYYY".</t>
  </si>
  <si>
    <t>Step 8 - Addition Analysis</t>
  </si>
  <si>
    <t>Step 9 -   Communicate Results</t>
  </si>
  <si>
    <t>To perform additional analysis and test the sensitivity of the eTool Data, navigate to the "Trial Deposits Analysis" worksheet. Once there a user can enter the eTool Data to replicate the eTool results and/or trial values for  Initial Deposit, Annual Deposit/Unit, and rates of change in Annual Deposit, in the turquoise cells.  Entering the same values that are displayed a "eTool data" will result in the same results as those that appear in the "eTool Data Results" worksheet and can be used as an initial test for accuracy and starting point for optimization.</t>
  </si>
  <si>
    <t>This Tool makes use of data generated by the CNA eTool. Therefore it is necessary that the Lender has properly completed the Financial Factors form of the Assessment Tool: (a)  inflation rate(s) for the Capital Needs, (b) interest rate(s) on short term maturities and (c) an Initial Deposit if any, Yr 1 Annual Deposit/Unit, and rate(s) of change in the Annual Deposit, if any.</t>
  </si>
  <si>
    <t>Navigate to the "Pass Fail Status" tab to see if the imported eTool Data meets the minimum guidelines. An indicator of "Meets Requirements" or "Violation Exists" will appear in the worksheet. (Note that the Project Name and FHA # references are based on inputs into the "eTool Data" tab.)</t>
  </si>
  <si>
    <t xml:space="preserve"> If the minimum guidelines are not met, navigate to the  "eTool Data Analysis" worksheet to examine the Relative Year 1-10 and 11+ test results. Details of any year's failure to meet FHA Guidelines can be seen by clicking on the "See Details" links.
(This is a good time to enter the Project Name and FHA #, City, State, SOA and Lender into the turquoise cells.)
If, the Relative Year 11+ Required Minimum Balances are not met, enter, as the instructions indicate, the mortgage terms in the turquoise cells, and examine the results of the Amortization Test. (Note that if certain data is included in Column A of any linked file, such data will appear below the Mortgage terms input box.)
  </t>
  </si>
  <si>
    <t>Draft Additional Analysis Tools - Years 11+</t>
  </si>
  <si>
    <t>Resutling DSC change</t>
  </si>
  <si>
    <t>Note: Graphs below depict results from Trial Deposits Analysis tab data; eTool Data results will appear only if Trial Deposits data is the same as eTool Data.</t>
  </si>
  <si>
    <t>Export the Financial Schedule results, saving the exported file to your local PC as "Property Name Financial Schedule, MM.DD.YYYY.xls" or xlsx. The format of the file must be an Excel format, which may  require resaving the initially exported file - which might initially export as an .html format - as an .xls or .xlsx file. (Optional: add information related to the project in column A to make it easier to see and use this information in the RfR Deposit Test Tool.)</t>
  </si>
  <si>
    <t>Note: results from Trial Deposits Analysis tab data; eTool Data results will appear only if Trial Deposits data is the same as eTool Data.</t>
  </si>
  <si>
    <t>Required Row Order for Fields in Columns 1 (Column 1 Header is "Description"). Subsequent Columns must conform.</t>
  </si>
  <si>
    <t xml:space="preserve">Run the Lender's CNA Assessment Tool through the Validation engine to create a Financial Schedule. </t>
  </si>
  <si>
    <t xml:space="preserve">Having tested the eTool Data against the RfR Guidelines, a user may communicate the results of the analysis in general or against specific items in the Needs Schedule to others involved in the underwriting of the project. </t>
  </si>
  <si>
    <t>Two additional draft worksheets are available to examine the sensitivity of the RfR to alternative inputs that address any year 11+ potential rebalancing. These worksheets allow a user to examine breakeven deposits to selected out-years and test alternative Annual Deposits for Year 1 and Initial and/or Annual deposits for Year 11.</t>
  </si>
  <si>
    <t>Yr 1-10</t>
  </si>
  <si>
    <t>Yr 11+</t>
  </si>
  <si>
    <r>
      <rPr>
        <b/>
        <sz val="11"/>
        <color theme="1"/>
        <rFont val="Calibri"/>
        <family val="2"/>
        <scheme val="minor"/>
      </rPr>
      <t>5) "VIOLATION EXISTS"</t>
    </r>
    <r>
      <rPr>
        <sz val="11"/>
        <color theme="1"/>
        <rFont val="Calibri"/>
        <family val="2"/>
        <scheme val="minor"/>
      </rPr>
      <t>: The e-Tool imported data does not meet MAP Guideline requirements.  Proceed to "Trial Deposit Analysis" Tab to adjust Deposit amounts.</t>
    </r>
  </si>
  <si>
    <r>
      <rPr>
        <b/>
        <sz val="11"/>
        <color theme="1"/>
        <rFont val="Calibri"/>
        <family val="2"/>
        <scheme val="minor"/>
      </rPr>
      <t>6) "REQUIREMENTS MET"</t>
    </r>
    <r>
      <rPr>
        <sz val="11"/>
        <color theme="1"/>
        <rFont val="Calibri"/>
        <family val="2"/>
        <scheme val="minor"/>
      </rPr>
      <t>: Proceed to "Attachment-RfR Commt Lttr" Tab, verify data and complete Commitment Letter date for inclusion with the Commitment Letter.</t>
    </r>
  </si>
  <si>
    <t>(Property Data Link)</t>
  </si>
  <si>
    <t>The user of this Trial Deposits Analysis may determine that a different  mix of deposit parameters compared to that which is produced by the CNA eTool  as reflected in the eTool Results is appropriate for risk or other reasons  given other relevant factors of the project. In such a case,  such parameters can be communicated to others involved in the underwriting and review of the project.</t>
  </si>
  <si>
    <t>The Use of this Tool is optional for lenders, though we believe it will be of value to lenders.</t>
  </si>
  <si>
    <t>Step by step instructions for the use of this Tool, which begin with how to import or copy data generated by submitting a CNA Assessment Tool file to the validation portal, follow:</t>
  </si>
  <si>
    <t>Note that many calculations are performed in worksheets called "Engines" in this workbook, so some cell formulas make reference to those worksheets.</t>
  </si>
  <si>
    <t>This Tool is Optional for Lenders</t>
  </si>
  <si>
    <t>HUD Staff use of this Tool</t>
  </si>
  <si>
    <t>Using just three tabs will prove compliance with HUD minimal guidelines</t>
  </si>
  <si>
    <t>If mortgage data needs to be changed,</t>
  </si>
  <si>
    <t>click this Mortgage Inputs Link.</t>
  </si>
  <si>
    <t>Please verify final mortgage terms.</t>
  </si>
  <si>
    <t>This spreadsheet is a tool to be used in conjunction with the CNA eTool to test the funding of the Reserve for Replacements ("RfR') in accordance with HUD's instructions as described in the 2016 MAP Guide Appendix 5G, Section VII, Subsection C.   This tool demonstrates if the Lender's projected ending RfR balances  (a) in Relative Years 1-2 remain positive, (b) in Relative Years 3-10  meet or exceed the Required Minimum Balance, and (c) for years after Relative Year 10, whether any balance shortfalls (inclusive of the required minimum balance) exceed the allowed percentage of loan amortization.</t>
  </si>
  <si>
    <t>HUD Staff will use this Tool to examine the adequacy of the projected RfR in conjunction with other aspects of the project under consideration, and in light of the project's particular Capital Needs projections, including the magnitude and timing of capital needs as captured in the eTool. Asset managers may use this tool on an on-going basis.</t>
  </si>
  <si>
    <t>Go to the RfR Commitment Letter Attachment ("Attachment - RfR Commt Lttr")  worksheet and enter the date of the Commitment Letter. Other cells should be checked to be sure they reflect the correct data for the project. If the data is not correct, return to the eTool Data Analysis tab and input the correct data that will be read to the Commitment Letter Attachment.</t>
  </si>
  <si>
    <t>Step 10 - at the time of Commitment, HUD staff complete the RfR Commitment Letter Attachment</t>
  </si>
  <si>
    <t>Step 7 - Save the RfR Deposit Test Tool for the project</t>
  </si>
  <si>
    <t>Analysis of Deposit Changes to Trial Dep. Inputs  to Meet Required Minimum RfR Balances in RY 11+</t>
  </si>
  <si>
    <t>Note: For Trial Deposits Results tab figures and graphs to be properly calculated, entries on this worksheet must be $0.</t>
  </si>
  <si>
    <t>Update date:</t>
  </si>
  <si>
    <t>Project Name from Input Sheet:</t>
  </si>
  <si>
    <t>FHA # from Input Sheet:</t>
  </si>
  <si>
    <r>
      <t xml:space="preserve">The authors of this Tool recognize that some users may find the number of Tabs (known also as  "worksheets"), and Tables and Graphs in, and potential use of, this workbook daunting. We want to stress that the this Tool can provide its minimal utility - assessing compliance with FHA's minimal guidelines -  to users through just three worksheets: the "eTool Data" worksheet, the "Pass Fail Status" worksheet and the "eTool Data Analysis" worksheet;  and that after the eTool data is provided, a user need enter just five Amortization Test inputs. 
</t>
    </r>
    <r>
      <rPr>
        <sz val="12"/>
        <color theme="1"/>
        <rFont val="Calibri"/>
        <family val="2"/>
        <scheme val="minor"/>
      </rPr>
      <t>The use of other tabs can provide further analysis and insights into the projected RfR as part of the underwriting process, and are included for this purpose. We have also chosen not to hide any worksheets to assist any users who wish to know more about the workings of this spreadsheet.</t>
    </r>
  </si>
  <si>
    <t xml:space="preserve">This spreadsheet differs from the CNA e-Tool in that it calculates only 20-year Estimate Periods. The CNA e-Tool will allow the user to input other Estimate Periods, when, for example, a project mortgage may have less than twenty years to maturity.  Relative Years end on the anniversary of the date you enter as the estimated date when amortization of the mortgage begins.  </t>
  </si>
  <si>
    <t>HUD RfR Financial Factors Tool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</si>
</sst>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quot;$&quot;#,##0.0000000"/>
    <numFmt numFmtId="167" formatCode="&quot;$&quot;#,##0.0_);[Red]\(&quot;$&quot;#,##0.0\)"/>
    <numFmt numFmtId="168" formatCode="0.0%"/>
    <numFmt numFmtId="169" formatCode="0.000%"/>
    <numFmt numFmtId="170" formatCode="0.0000%"/>
    <numFmt numFmtId="171" formatCode="&quot;$&quot;#,##0.0000000_);[Red]\(&quot;$&quot;#,##0.0000000\)"/>
    <numFmt numFmtId="172" formatCode="000\-00000"/>
  </numFmts>
  <fonts count="95"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2"/>
      <color theme="1"/>
      <name val="Calibri"/>
      <family val="2"/>
      <scheme val="minor"/>
    </font>
    <font>
      <sz val="10"/>
      <color theme="1"/>
      <name val="Calibri"/>
      <family val="2"/>
      <scheme val="minor"/>
    </font>
    <font>
      <sz val="9"/>
      <color theme="1"/>
      <name val="Calibri"/>
      <family val="2"/>
      <scheme val="minor"/>
    </font>
    <font>
      <i/>
      <sz val="9"/>
      <color theme="0" tint="-0.499984740745262"/>
      <name val="Calibri"/>
      <family val="2"/>
      <scheme val="minor"/>
    </font>
    <font>
      <i/>
      <sz val="9"/>
      <color theme="1" tint="0.499984740745262"/>
      <name val="Calibri"/>
      <family val="2"/>
      <scheme val="minor"/>
    </font>
    <font>
      <i/>
      <sz val="10"/>
      <color theme="1" tint="0.499984740745262"/>
      <name val="Calibri"/>
      <family val="2"/>
      <scheme val="minor"/>
    </font>
    <font>
      <u/>
      <sz val="11"/>
      <color theme="1"/>
      <name val="Calibri"/>
      <family val="2"/>
      <scheme val="minor"/>
    </font>
    <font>
      <u val="doubleAccounting"/>
      <sz val="11"/>
      <color theme="1"/>
      <name val="Calibri"/>
      <family val="2"/>
      <scheme val="minor"/>
    </font>
    <font>
      <u val="singleAccounting"/>
      <sz val="11"/>
      <color theme="1"/>
      <name val="Calibri"/>
      <family val="2"/>
      <scheme val="minor"/>
    </font>
    <font>
      <i/>
      <sz val="11"/>
      <color theme="1"/>
      <name val="Calibri"/>
      <family val="2"/>
      <scheme val="minor"/>
    </font>
    <font>
      <i/>
      <u val="singleAccounting"/>
      <sz val="11"/>
      <color theme="1"/>
      <name val="Calibri"/>
      <family val="2"/>
      <scheme val="minor"/>
    </font>
    <font>
      <sz val="9"/>
      <color rgb="FFFF0000"/>
      <name val="Calibri"/>
      <family val="2"/>
      <scheme val="minor"/>
    </font>
    <font>
      <sz val="9"/>
      <color rgb="FF00B050"/>
      <name val="Calibri"/>
      <family val="2"/>
      <scheme val="minor"/>
    </font>
    <font>
      <sz val="11"/>
      <color rgb="FF00B050"/>
      <name val="Calibri"/>
      <family val="2"/>
      <scheme val="minor"/>
    </font>
    <font>
      <i/>
      <sz val="10"/>
      <name val="Calibri"/>
      <family val="2"/>
      <scheme val="minor"/>
    </font>
    <font>
      <sz val="9"/>
      <name val="Calibri"/>
      <family val="2"/>
      <scheme val="minor"/>
    </font>
    <font>
      <i/>
      <sz val="10"/>
      <color theme="0" tint="-0.499984740745262"/>
      <name val="Calibri"/>
      <family val="2"/>
      <scheme val="minor"/>
    </font>
    <font>
      <sz val="8"/>
      <color theme="1"/>
      <name val="Calibri"/>
      <family val="2"/>
      <scheme val="minor"/>
    </font>
    <font>
      <sz val="8"/>
      <color theme="0" tint="-0.499984740745262"/>
      <name val="Calibri"/>
      <family val="2"/>
      <scheme val="minor"/>
    </font>
    <font>
      <i/>
      <u val="doubleAccounting"/>
      <sz val="10"/>
      <color theme="1" tint="0.499984740745262"/>
      <name val="Calibri"/>
      <family val="2"/>
      <scheme val="minor"/>
    </font>
    <font>
      <i/>
      <u val="singleAccounting"/>
      <sz val="10"/>
      <color theme="1" tint="0.499984740745262"/>
      <name val="Calibri"/>
      <family val="2"/>
      <scheme val="minor"/>
    </font>
    <font>
      <i/>
      <u/>
      <sz val="10"/>
      <color theme="1" tint="0.499984740745262"/>
      <name val="Calibri"/>
      <family val="2"/>
      <scheme val="minor"/>
    </font>
    <font>
      <u/>
      <sz val="11"/>
      <color theme="10"/>
      <name val="Calibri"/>
      <family val="2"/>
      <scheme val="minor"/>
    </font>
    <font>
      <sz val="9"/>
      <color indexed="81"/>
      <name val="Tahoma"/>
      <family val="2"/>
    </font>
    <font>
      <b/>
      <sz val="9"/>
      <color indexed="81"/>
      <name val="Tahoma"/>
      <family val="2"/>
    </font>
    <font>
      <b/>
      <sz val="9"/>
      <color theme="1"/>
      <name val="Calibri"/>
      <family val="2"/>
      <scheme val="minor"/>
    </font>
    <font>
      <b/>
      <sz val="12"/>
      <color theme="0"/>
      <name val="Calibri"/>
      <family val="2"/>
      <scheme val="minor"/>
    </font>
    <font>
      <i/>
      <sz val="10"/>
      <color theme="1"/>
      <name val="Calibri"/>
      <family val="2"/>
      <scheme val="minor"/>
    </font>
    <font>
      <sz val="9"/>
      <color theme="0" tint="-0.499984740745262"/>
      <name val="Calibri"/>
      <family val="2"/>
      <scheme val="minor"/>
    </font>
    <font>
      <i/>
      <sz val="8"/>
      <color theme="0" tint="-0.499984740745262"/>
      <name val="Calibri"/>
      <family val="2"/>
      <scheme val="minor"/>
    </font>
    <font>
      <u/>
      <sz val="9"/>
      <color theme="10"/>
      <name val="Calibri"/>
      <family val="2"/>
      <scheme val="minor"/>
    </font>
    <font>
      <sz val="12"/>
      <color theme="1"/>
      <name val="Calibri"/>
      <family val="2"/>
      <scheme val="minor"/>
    </font>
    <font>
      <sz val="10"/>
      <color rgb="FFFF0000"/>
      <name val="Calibri"/>
      <family val="2"/>
      <scheme val="minor"/>
    </font>
    <font>
      <sz val="11"/>
      <name val="Calibri"/>
      <family val="2"/>
      <scheme val="minor"/>
    </font>
    <font>
      <i/>
      <sz val="8"/>
      <color theme="1"/>
      <name val="Calibri"/>
      <family val="2"/>
      <scheme val="minor"/>
    </font>
    <font>
      <sz val="14"/>
      <color theme="1"/>
      <name val="Calibri"/>
      <family val="2"/>
      <scheme val="minor"/>
    </font>
    <font>
      <b/>
      <sz val="14"/>
      <color theme="1"/>
      <name val="Calibri"/>
      <family val="2"/>
      <scheme val="minor"/>
    </font>
    <font>
      <sz val="12"/>
      <color rgb="FF000000"/>
      <name val="Calibri"/>
      <family val="2"/>
      <scheme val="minor"/>
    </font>
    <font>
      <u/>
      <sz val="8"/>
      <color theme="1"/>
      <name val="Calibri"/>
      <family val="2"/>
      <scheme val="minor"/>
    </font>
    <font>
      <sz val="9"/>
      <color theme="4"/>
      <name val="Calibri"/>
      <family val="2"/>
      <scheme val="minor"/>
    </font>
    <font>
      <u/>
      <sz val="9"/>
      <color theme="4"/>
      <name val="Calibri"/>
      <family val="2"/>
      <scheme val="minor"/>
    </font>
    <font>
      <b/>
      <sz val="9"/>
      <color theme="4"/>
      <name val="Calibri"/>
      <family val="2"/>
      <scheme val="minor"/>
    </font>
    <font>
      <b/>
      <sz val="11"/>
      <color theme="4"/>
      <name val="Calibri"/>
      <family val="2"/>
      <scheme val="minor"/>
    </font>
    <font>
      <sz val="11"/>
      <color rgb="FFFF0000"/>
      <name val="Calibri"/>
      <family val="2"/>
      <scheme val="minor"/>
    </font>
    <font>
      <u val="doubleAccounting"/>
      <sz val="11"/>
      <color rgb="FF0099CC"/>
      <name val="Calibri"/>
      <family val="2"/>
      <scheme val="minor"/>
    </font>
    <font>
      <b/>
      <sz val="11"/>
      <color rgb="FF0099CC"/>
      <name val="Calibri"/>
      <family val="2"/>
      <scheme val="minor"/>
    </font>
    <font>
      <u/>
      <sz val="10"/>
      <color theme="1"/>
      <name val="Calibri"/>
      <family val="2"/>
      <scheme val="minor"/>
    </font>
    <font>
      <i/>
      <sz val="11"/>
      <name val="Calibri"/>
      <family val="2"/>
      <scheme val="minor"/>
    </font>
    <font>
      <i/>
      <sz val="11"/>
      <color theme="1" tint="0.499984740745262"/>
      <name val="Calibri"/>
      <family val="2"/>
      <scheme val="minor"/>
    </font>
    <font>
      <sz val="10"/>
      <name val="Calibri"/>
      <family val="2"/>
      <scheme val="minor"/>
    </font>
    <font>
      <i/>
      <sz val="12"/>
      <color theme="0" tint="-0.499984740745262"/>
      <name val="Calibri"/>
      <family val="2"/>
      <scheme val="minor"/>
    </font>
    <font>
      <i/>
      <sz val="12"/>
      <name val="Calibri"/>
      <family val="2"/>
      <scheme val="minor"/>
    </font>
    <font>
      <b/>
      <i/>
      <sz val="12"/>
      <name val="Calibri"/>
      <family val="2"/>
      <scheme val="minor"/>
    </font>
    <font>
      <u/>
      <sz val="12"/>
      <name val="Calibri"/>
      <family val="2"/>
      <scheme val="minor"/>
    </font>
    <font>
      <sz val="11"/>
      <color theme="1"/>
      <name val="Calibri"/>
      <family val="2"/>
      <scheme val="minor"/>
    </font>
    <font>
      <b/>
      <sz val="10"/>
      <color theme="1"/>
      <name val="Calibri"/>
      <family val="2"/>
      <scheme val="minor"/>
    </font>
    <font>
      <b/>
      <sz val="18"/>
      <color theme="1"/>
      <name val="Calibri"/>
      <family val="2"/>
      <scheme val="minor"/>
    </font>
    <font>
      <b/>
      <sz val="16"/>
      <color theme="1"/>
      <name val="Calibri"/>
      <family val="2"/>
      <scheme val="minor"/>
    </font>
    <font>
      <i/>
      <sz val="9"/>
      <color theme="1"/>
      <name val="Calibri"/>
      <family val="2"/>
      <scheme val="minor"/>
    </font>
    <font>
      <b/>
      <sz val="11"/>
      <name val="Calibri"/>
      <family val="2"/>
      <scheme val="minor"/>
    </font>
    <font>
      <b/>
      <sz val="13"/>
      <color theme="1"/>
      <name val="Calibri"/>
      <family val="2"/>
      <scheme val="minor"/>
    </font>
    <font>
      <b/>
      <sz val="12"/>
      <name val="Calibri"/>
      <family val="2"/>
      <scheme val="minor"/>
    </font>
    <font>
      <b/>
      <i/>
      <sz val="10"/>
      <color theme="1"/>
      <name val="Calibri"/>
      <family val="2"/>
      <scheme val="minor"/>
    </font>
    <font>
      <b/>
      <i/>
      <sz val="11"/>
      <color theme="1"/>
      <name val="Calibri"/>
      <family val="2"/>
      <scheme val="minor"/>
    </font>
    <font>
      <b/>
      <u/>
      <sz val="10"/>
      <color theme="1"/>
      <name val="Calibri"/>
      <family val="2"/>
      <scheme val="minor"/>
    </font>
    <font>
      <b/>
      <i/>
      <u/>
      <sz val="10"/>
      <color theme="1"/>
      <name val="Calibri"/>
      <family val="2"/>
      <scheme val="minor"/>
    </font>
    <font>
      <u/>
      <sz val="10"/>
      <color rgb="FFFF0000"/>
      <name val="Calibri"/>
      <family val="2"/>
      <scheme val="minor"/>
    </font>
    <font>
      <i/>
      <u/>
      <sz val="10"/>
      <color theme="1"/>
      <name val="Calibri"/>
      <family val="2"/>
      <scheme val="minor"/>
    </font>
    <font>
      <sz val="14"/>
      <color rgb="FFFF0000"/>
      <name val="Calibri"/>
      <family val="2"/>
      <scheme val="minor"/>
    </font>
    <font>
      <u/>
      <sz val="10"/>
      <color theme="10"/>
      <name val="Calibri"/>
      <family val="2"/>
      <scheme val="minor"/>
    </font>
    <font>
      <i/>
      <sz val="11"/>
      <color rgb="FF0070C0"/>
      <name val="Calibri"/>
      <family val="2"/>
      <scheme val="minor"/>
    </font>
    <font>
      <i/>
      <u/>
      <sz val="9"/>
      <color theme="1"/>
      <name val="Calibri"/>
      <family val="2"/>
      <scheme val="minor"/>
    </font>
    <font>
      <i/>
      <sz val="9"/>
      <color rgb="FFFF0000"/>
      <name val="Calibri"/>
      <family val="2"/>
      <scheme val="minor"/>
    </font>
    <font>
      <u/>
      <sz val="10"/>
      <color theme="1" tint="0.499984740745262"/>
      <name val="Calibri"/>
      <family val="2"/>
      <scheme val="minor"/>
    </font>
    <font>
      <i/>
      <sz val="8"/>
      <color rgb="FFFF0000"/>
      <name val="Calibri"/>
      <family val="2"/>
      <scheme val="minor"/>
    </font>
    <font>
      <i/>
      <u/>
      <sz val="11"/>
      <name val="Calibri"/>
      <family val="2"/>
      <scheme val="minor"/>
    </font>
    <font>
      <b/>
      <i/>
      <u/>
      <sz val="11"/>
      <name val="Calibri"/>
      <family val="2"/>
      <scheme val="minor"/>
    </font>
    <font>
      <b/>
      <u/>
      <sz val="12"/>
      <color theme="1"/>
      <name val="Calibri"/>
      <family val="2"/>
      <scheme val="minor"/>
    </font>
    <font>
      <b/>
      <i/>
      <sz val="9"/>
      <color theme="1"/>
      <name val="Calibri"/>
      <family val="2"/>
      <scheme val="minor"/>
    </font>
    <font>
      <i/>
      <sz val="12"/>
      <color theme="1"/>
      <name val="Calibri"/>
      <family val="2"/>
      <scheme val="minor"/>
    </font>
    <font>
      <b/>
      <i/>
      <sz val="10"/>
      <color theme="1" tint="0.499984740745262"/>
      <name val="Calibri"/>
      <family val="2"/>
      <scheme val="minor"/>
    </font>
    <font>
      <b/>
      <sz val="10"/>
      <name val="Calibri"/>
      <family val="2"/>
      <scheme val="minor"/>
    </font>
    <font>
      <sz val="10"/>
      <color rgb="FF0099CC"/>
      <name val="Calibri"/>
      <family val="2"/>
      <scheme val="minor"/>
    </font>
    <font>
      <sz val="10"/>
      <color rgb="FF0070C0"/>
      <name val="Calibri"/>
      <family val="2"/>
      <scheme val="minor"/>
    </font>
    <font>
      <sz val="8"/>
      <color rgb="FFFF0000"/>
      <name val="Calibri"/>
      <family val="2"/>
      <scheme val="minor"/>
    </font>
    <font>
      <sz val="11"/>
      <color rgb="FFC00000"/>
      <name val="Calibri"/>
      <family val="2"/>
      <scheme val="minor"/>
    </font>
    <font>
      <sz val="16"/>
      <color theme="1"/>
      <name val="Calibri"/>
      <family val="2"/>
      <scheme val="minor"/>
    </font>
    <font>
      <u/>
      <sz val="12"/>
      <color theme="1"/>
      <name val="Calibri"/>
      <family val="2"/>
      <scheme val="minor"/>
    </font>
    <font>
      <b/>
      <sz val="14"/>
      <color rgb="FFFF0000"/>
      <name val="Calibri"/>
      <family val="2"/>
      <scheme val="minor"/>
    </font>
    <font>
      <i/>
      <u/>
      <sz val="11"/>
      <color theme="10"/>
      <name val="Calibri"/>
      <family val="2"/>
      <scheme val="minor"/>
    </font>
    <font>
      <b/>
      <sz val="12"/>
      <color rgb="FFFF0000"/>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0099CC"/>
        <bgColor indexed="64"/>
      </patternFill>
    </fill>
    <fill>
      <patternFill patternType="solid">
        <fgColor rgb="FF66FFFF"/>
        <bgColor indexed="64"/>
      </patternFill>
    </fill>
    <fill>
      <patternFill patternType="solid">
        <fgColor rgb="FF66CCFF"/>
        <bgColor indexed="64"/>
      </patternFill>
    </fill>
    <fill>
      <patternFill patternType="solid">
        <fgColor theme="0" tint="-0.499984740745262"/>
        <bgColor indexed="64"/>
      </patternFill>
    </fill>
    <fill>
      <patternFill patternType="solid">
        <fgColor rgb="FFFFFF00"/>
        <bgColor indexed="64"/>
      </patternFill>
    </fill>
    <fill>
      <patternFill patternType="solid">
        <fgColor rgb="FFE2FCC0"/>
        <bgColor indexed="64"/>
      </patternFill>
    </fill>
    <fill>
      <patternFill patternType="solid">
        <fgColor rgb="FFCCECFF"/>
        <bgColor indexed="64"/>
      </patternFill>
    </fill>
    <fill>
      <patternFill patternType="solid">
        <fgColor rgb="FF00B0F0"/>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rgb="FFD5F1F0"/>
        <bgColor indexed="64"/>
      </patternFill>
    </fill>
    <fill>
      <patternFill patternType="solid">
        <fgColor rgb="FFFFCCCC"/>
        <bgColor indexed="64"/>
      </patternFill>
    </fill>
    <fill>
      <patternFill patternType="solid">
        <fgColor theme="0" tint="-0.34998626667073579"/>
        <bgColor indexed="64"/>
      </patternFill>
    </fill>
  </fills>
  <borders count="95">
    <border>
      <left/>
      <right/>
      <top/>
      <bottom/>
      <diagonal/>
    </border>
    <border>
      <left style="medium">
        <color theme="0"/>
      </left>
      <right style="medium">
        <color theme="0" tint="-0.24994659260841701"/>
      </right>
      <top style="medium">
        <color theme="0"/>
      </top>
      <bottom style="medium">
        <color theme="0" tint="-0.2499465926084170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theme="0" tint="-0.34998626667073579"/>
      </left>
      <right/>
      <top style="thick">
        <color theme="0" tint="-0.34998626667073579"/>
      </top>
      <bottom style="dashed">
        <color theme="0"/>
      </bottom>
      <diagonal/>
    </border>
    <border>
      <left style="thick">
        <color theme="0" tint="-0.24994659260841701"/>
      </left>
      <right/>
      <top style="thick">
        <color theme="0" tint="-0.24994659260841701"/>
      </top>
      <bottom/>
      <diagonal/>
    </border>
    <border>
      <left/>
      <right style="dashed">
        <color theme="0"/>
      </right>
      <top style="thick">
        <color theme="0" tint="-0.24994659260841701"/>
      </top>
      <bottom/>
      <diagonal/>
    </border>
    <border>
      <left style="thick">
        <color theme="0" tint="-0.24994659260841701"/>
      </left>
      <right/>
      <top/>
      <bottom/>
      <diagonal/>
    </border>
    <border>
      <left/>
      <right style="dashed">
        <color theme="0"/>
      </right>
      <top/>
      <bottom/>
      <diagonal/>
    </border>
    <border>
      <left style="thick">
        <color theme="0" tint="-0.24994659260841701"/>
      </left>
      <right/>
      <top/>
      <bottom style="dashed">
        <color theme="0"/>
      </bottom>
      <diagonal/>
    </border>
    <border>
      <left/>
      <right style="dashed">
        <color theme="0"/>
      </right>
      <top/>
      <bottom style="dashed">
        <color theme="0"/>
      </bottom>
      <diagonal/>
    </border>
    <border>
      <left style="thin">
        <color theme="1" tint="0.499984740745262"/>
      </left>
      <right/>
      <top style="thin">
        <color theme="1" tint="0.499984740745262"/>
      </top>
      <bottom/>
      <diagonal/>
    </border>
    <border>
      <left/>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theme="0" tint="-0.24994659260841701"/>
      </left>
      <right style="medium">
        <color theme="1"/>
      </right>
      <top style="medium">
        <color theme="0" tint="-0.24994659260841701"/>
      </top>
      <bottom/>
      <diagonal/>
    </border>
    <border>
      <left style="medium">
        <color theme="0" tint="-0.24994659260841701"/>
      </left>
      <right style="medium">
        <color theme="1"/>
      </right>
      <top/>
      <bottom/>
      <diagonal/>
    </border>
    <border>
      <left style="medium">
        <color theme="0" tint="-0.24994659260841701"/>
      </left>
      <right style="medium">
        <color theme="1"/>
      </right>
      <top/>
      <bottom style="medium">
        <color theme="0" tint="-0.24994659260841701"/>
      </bottom>
      <diagonal/>
    </border>
    <border>
      <left/>
      <right/>
      <top style="thin">
        <color indexed="64"/>
      </top>
      <bottom style="double">
        <color indexed="64"/>
      </bottom>
      <diagonal/>
    </border>
    <border>
      <left/>
      <right style="medium">
        <color theme="1"/>
      </right>
      <top style="medium">
        <color theme="0" tint="-0.24994659260841701"/>
      </top>
      <bottom/>
      <diagonal/>
    </border>
    <border>
      <left style="medium">
        <color theme="0" tint="-0.24994659260841701"/>
      </left>
      <right/>
      <top style="medium">
        <color theme="0" tint="-0.24994659260841701"/>
      </top>
      <bottom/>
      <diagonal/>
    </border>
    <border>
      <left style="thick">
        <color theme="0" tint="-0.34998626667073579"/>
      </left>
      <right style="thick">
        <color theme="0" tint="-0.34998626667073579"/>
      </right>
      <top style="thick">
        <color theme="0" tint="-0.34998626667073579"/>
      </top>
      <bottom style="thin">
        <color theme="0" tint="-0.3499862666707357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style="thin">
        <color indexed="64"/>
      </top>
      <bottom/>
      <diagonal/>
    </border>
    <border>
      <left/>
      <right style="medium">
        <color indexed="64"/>
      </right>
      <top style="thin">
        <color indexed="64"/>
      </top>
      <bottom/>
      <diagonal/>
    </border>
    <border>
      <left style="thin">
        <color auto="1"/>
      </left>
      <right style="thin">
        <color auto="1"/>
      </right>
      <top style="medium">
        <color indexed="64"/>
      </top>
      <bottom style="thin">
        <color auto="1"/>
      </bottom>
      <diagonal/>
    </border>
    <border>
      <left style="hair">
        <color auto="1"/>
      </left>
      <right style="hair">
        <color auto="1"/>
      </right>
      <top style="hair">
        <color auto="1"/>
      </top>
      <bottom style="hair">
        <color auto="1"/>
      </bottom>
      <diagonal/>
    </border>
    <border>
      <left style="medium">
        <color indexed="64"/>
      </left>
      <right style="hair">
        <color auto="1"/>
      </right>
      <top style="medium">
        <color indexed="64"/>
      </top>
      <bottom style="hair">
        <color auto="1"/>
      </bottom>
      <diagonal/>
    </border>
    <border>
      <left style="hair">
        <color auto="1"/>
      </left>
      <right style="hair">
        <color auto="1"/>
      </right>
      <top style="medium">
        <color indexed="64"/>
      </top>
      <bottom style="hair">
        <color auto="1"/>
      </bottom>
      <diagonal/>
    </border>
    <border>
      <left style="medium">
        <color indexed="64"/>
      </left>
      <right style="hair">
        <color auto="1"/>
      </right>
      <top style="hair">
        <color auto="1"/>
      </top>
      <bottom style="hair">
        <color auto="1"/>
      </bottom>
      <diagonal/>
    </border>
    <border>
      <left style="medium">
        <color indexed="64"/>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thin">
        <color auto="1"/>
      </left>
      <right style="thin">
        <color auto="1"/>
      </right>
      <top/>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style="medium">
        <color indexed="64"/>
      </bottom>
      <diagonal/>
    </border>
    <border>
      <left style="thin">
        <color auto="1"/>
      </left>
      <right style="medium">
        <color indexed="64"/>
      </right>
      <top style="medium">
        <color indexed="64"/>
      </top>
      <bottom style="thin">
        <color auto="1"/>
      </bottom>
      <diagonal/>
    </border>
    <border>
      <left style="medium">
        <color indexed="64"/>
      </left>
      <right style="thin">
        <color auto="1"/>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right style="thin">
        <color auto="1"/>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top style="double">
        <color indexed="64"/>
      </top>
      <bottom style="thin">
        <color auto="1"/>
      </bottom>
      <diagonal/>
    </border>
    <border>
      <left/>
      <right style="thin">
        <color indexed="64"/>
      </right>
      <top style="double">
        <color indexed="64"/>
      </top>
      <bottom style="thin">
        <color auto="1"/>
      </bottom>
      <diagonal/>
    </border>
    <border>
      <left style="hair">
        <color auto="1"/>
      </left>
      <right style="medium">
        <color indexed="64"/>
      </right>
      <top style="medium">
        <color indexed="64"/>
      </top>
      <bottom style="hair">
        <color auto="1"/>
      </bottom>
      <diagonal/>
    </border>
    <border>
      <left style="hair">
        <color auto="1"/>
      </left>
      <right style="medium">
        <color indexed="64"/>
      </right>
      <top style="hair">
        <color auto="1"/>
      </top>
      <bottom style="hair">
        <color auto="1"/>
      </bottom>
      <diagonal/>
    </border>
    <border>
      <left style="hair">
        <color auto="1"/>
      </left>
      <right style="medium">
        <color indexed="64"/>
      </right>
      <top style="hair">
        <color auto="1"/>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theme="0" tint="-0.14999847407452621"/>
      </right>
      <top/>
      <bottom/>
      <diagonal/>
    </border>
    <border>
      <left/>
      <right/>
      <top style="thin">
        <color theme="0" tint="-0.14999847407452621"/>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auto="1"/>
      </left>
      <right style="medium">
        <color indexed="64"/>
      </right>
      <top/>
      <bottom style="thin">
        <color auto="1"/>
      </bottom>
      <diagonal/>
    </border>
    <border>
      <left/>
      <right style="thin">
        <color indexed="64"/>
      </right>
      <top style="medium">
        <color indexed="64"/>
      </top>
      <bottom/>
      <diagonal/>
    </border>
    <border>
      <left/>
      <right style="thin">
        <color indexed="64"/>
      </right>
      <top/>
      <bottom style="medium">
        <color indexed="64"/>
      </bottom>
      <diagonal/>
    </border>
    <border>
      <left style="thin">
        <color auto="1"/>
      </left>
      <right style="medium">
        <color indexed="64"/>
      </right>
      <top style="thin">
        <color auto="1"/>
      </top>
      <bottom/>
      <diagonal/>
    </border>
    <border>
      <left style="thin">
        <color auto="1"/>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theme="0" tint="-0.14999847407452621"/>
      </right>
      <top/>
      <bottom/>
      <diagonal/>
    </border>
    <border>
      <left/>
      <right style="thin">
        <color indexed="64"/>
      </right>
      <top style="thin">
        <color indexed="64"/>
      </top>
      <bottom style="double">
        <color indexed="64"/>
      </bottom>
      <diagonal/>
    </border>
    <border>
      <left style="thin">
        <color auto="1"/>
      </left>
      <right/>
      <top/>
      <bottom style="medium">
        <color indexed="64"/>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26" fillId="0" borderId="0" applyNumberFormat="0" applyFill="0" applyBorder="0" applyAlignment="0" applyProtection="0"/>
    <xf numFmtId="43" fontId="1" fillId="0" borderId="0" applyFont="0" applyFill="0" applyBorder="0" applyAlignment="0" applyProtection="0"/>
  </cellStyleXfs>
  <cellXfs count="1163">
    <xf numFmtId="0" fontId="0" fillId="0" borderId="0" xfId="0"/>
    <xf numFmtId="0" fontId="0" fillId="2" borderId="0" xfId="0" applyFill="1" applyBorder="1"/>
    <xf numFmtId="0" fontId="0" fillId="3" borderId="1" xfId="0" applyFill="1" applyBorder="1"/>
    <xf numFmtId="0" fontId="0" fillId="4" borderId="0"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0" fillId="3" borderId="0" xfId="0" applyFill="1" applyBorder="1" applyAlignment="1">
      <alignment horizontal="right"/>
    </xf>
    <xf numFmtId="0" fontId="0" fillId="3" borderId="7" xfId="0" applyFill="1" applyBorder="1"/>
    <xf numFmtId="0" fontId="0" fillId="3" borderId="8" xfId="0" applyFill="1" applyBorder="1"/>
    <xf numFmtId="0" fontId="0" fillId="3" borderId="9" xfId="0" applyFill="1" applyBorder="1"/>
    <xf numFmtId="0" fontId="0" fillId="3" borderId="0" xfId="0" applyFill="1" applyBorder="1" applyAlignment="1">
      <alignment horizontal="center"/>
    </xf>
    <xf numFmtId="0" fontId="2" fillId="3" borderId="0" xfId="0" applyFont="1" applyFill="1" applyBorder="1"/>
    <xf numFmtId="0" fontId="2" fillId="3" borderId="0" xfId="0" applyFont="1" applyFill="1" applyBorder="1" applyAlignment="1">
      <alignment horizontal="right"/>
    </xf>
    <xf numFmtId="0" fontId="0" fillId="3" borderId="17" xfId="0" applyFill="1" applyBorder="1"/>
    <xf numFmtId="0" fontId="2" fillId="3" borderId="18" xfId="0" applyFont="1" applyFill="1" applyBorder="1"/>
    <xf numFmtId="0" fontId="0" fillId="3" borderId="18" xfId="0" applyFill="1" applyBorder="1"/>
    <xf numFmtId="0" fontId="0" fillId="3" borderId="19" xfId="0" applyFill="1" applyBorder="1"/>
    <xf numFmtId="0" fontId="0" fillId="3" borderId="20" xfId="0" applyFill="1" applyBorder="1"/>
    <xf numFmtId="0" fontId="0" fillId="3" borderId="21" xfId="0" applyFill="1" applyBorder="1"/>
    <xf numFmtId="0" fontId="0" fillId="3" borderId="22" xfId="0" applyFill="1" applyBorder="1"/>
    <xf numFmtId="0" fontId="0" fillId="3" borderId="23" xfId="0" applyFill="1" applyBorder="1"/>
    <xf numFmtId="0" fontId="4" fillId="3" borderId="0" xfId="0" applyFont="1" applyFill="1" applyBorder="1"/>
    <xf numFmtId="0" fontId="0" fillId="5" borderId="10" xfId="0" applyFill="1" applyBorder="1" applyAlignment="1">
      <alignment horizontal="center"/>
    </xf>
    <xf numFmtId="0" fontId="2" fillId="3" borderId="1" xfId="0" applyFont="1" applyFill="1" applyBorder="1"/>
    <xf numFmtId="0" fontId="5" fillId="3" borderId="0" xfId="0" applyFont="1" applyFill="1" applyBorder="1"/>
    <xf numFmtId="0" fontId="6" fillId="3" borderId="0" xfId="0" applyFont="1" applyFill="1" applyBorder="1"/>
    <xf numFmtId="0" fontId="16" fillId="3" borderId="0" xfId="0" applyFont="1" applyFill="1" applyBorder="1" applyAlignment="1">
      <alignment horizontal="center"/>
    </xf>
    <xf numFmtId="0" fontId="16" fillId="2" borderId="0" xfId="0" applyFont="1" applyFill="1" applyBorder="1" applyAlignment="1">
      <alignment horizontal="right"/>
    </xf>
    <xf numFmtId="0" fontId="16" fillId="3" borderId="6" xfId="0" applyFont="1" applyFill="1" applyBorder="1" applyAlignment="1">
      <alignment horizontal="right"/>
    </xf>
    <xf numFmtId="0" fontId="17" fillId="3" borderId="6" xfId="0" applyFont="1" applyFill="1" applyBorder="1" applyAlignment="1">
      <alignment horizontal="center"/>
    </xf>
    <xf numFmtId="0" fontId="10" fillId="3" borderId="6" xfId="0" applyFont="1" applyFill="1" applyBorder="1" applyAlignment="1">
      <alignment horizontal="center"/>
    </xf>
    <xf numFmtId="0" fontId="0" fillId="4" borderId="33" xfId="0" applyFill="1" applyBorder="1" applyAlignment="1">
      <alignment horizontal="center"/>
    </xf>
    <xf numFmtId="0" fontId="0" fillId="4" borderId="34" xfId="0" applyFill="1" applyBorder="1" applyAlignment="1">
      <alignment horizontal="center"/>
    </xf>
    <xf numFmtId="14" fontId="0" fillId="4" borderId="35" xfId="0" applyNumberFormat="1" applyFill="1" applyBorder="1" applyAlignment="1">
      <alignment horizontal="center"/>
    </xf>
    <xf numFmtId="165" fontId="0" fillId="4" borderId="0" xfId="0" applyNumberFormat="1" applyFill="1" applyBorder="1"/>
    <xf numFmtId="0" fontId="19" fillId="2" borderId="0" xfId="0" applyFont="1" applyFill="1" applyBorder="1" applyAlignment="1">
      <alignment horizontal="right"/>
    </xf>
    <xf numFmtId="0" fontId="0" fillId="3" borderId="0" xfId="0" applyFill="1" applyBorder="1" applyAlignment="1">
      <alignment horizontal="left"/>
    </xf>
    <xf numFmtId="0" fontId="17" fillId="3" borderId="0" xfId="0" applyFont="1" applyFill="1" applyBorder="1" applyAlignment="1">
      <alignment horizontal="center"/>
    </xf>
    <xf numFmtId="0" fontId="21" fillId="4" borderId="10" xfId="0" applyFont="1" applyFill="1" applyBorder="1"/>
    <xf numFmtId="0" fontId="0" fillId="6" borderId="0" xfId="0" applyFill="1"/>
    <xf numFmtId="164" fontId="0" fillId="7" borderId="10" xfId="0" applyNumberFormat="1" applyFill="1" applyBorder="1"/>
    <xf numFmtId="14" fontId="0" fillId="7" borderId="10" xfId="0" applyNumberFormat="1" applyFill="1" applyBorder="1"/>
    <xf numFmtId="0" fontId="0" fillId="2" borderId="25" xfId="0" applyFill="1" applyBorder="1"/>
    <xf numFmtId="0" fontId="0" fillId="2" borderId="26" xfId="0" applyFill="1" applyBorder="1"/>
    <xf numFmtId="0" fontId="0" fillId="2" borderId="27" xfId="0" applyFill="1" applyBorder="1"/>
    <xf numFmtId="0" fontId="0" fillId="2" borderId="28" xfId="0" applyFill="1" applyBorder="1"/>
    <xf numFmtId="0" fontId="0" fillId="2" borderId="29" xfId="0" applyFill="1" applyBorder="1"/>
    <xf numFmtId="8" fontId="0" fillId="2" borderId="0" xfId="0" applyNumberFormat="1" applyFill="1" applyBorder="1"/>
    <xf numFmtId="166" fontId="0" fillId="2" borderId="0" xfId="0" applyNumberFormat="1" applyFill="1" applyBorder="1"/>
    <xf numFmtId="8" fontId="11" fillId="2" borderId="0" xfId="0" applyNumberFormat="1" applyFont="1" applyFill="1" applyBorder="1"/>
    <xf numFmtId="0" fontId="13" fillId="2" borderId="0" xfId="0" applyFont="1" applyFill="1" applyBorder="1"/>
    <xf numFmtId="0" fontId="9" fillId="2" borderId="0" xfId="0" applyFont="1" applyFill="1" applyBorder="1"/>
    <xf numFmtId="0" fontId="9" fillId="2" borderId="0" xfId="0" applyFont="1" applyFill="1" applyBorder="1" applyAlignment="1">
      <alignment horizontal="left" indent="2"/>
    </xf>
    <xf numFmtId="0" fontId="20" fillId="2" borderId="0" xfId="0" applyFont="1" applyFill="1" applyBorder="1" applyAlignment="1">
      <alignment horizontal="center"/>
    </xf>
    <xf numFmtId="0" fontId="18" fillId="2" borderId="0" xfId="0" applyFont="1" applyFill="1" applyBorder="1" applyAlignment="1">
      <alignment horizontal="center"/>
    </xf>
    <xf numFmtId="1" fontId="9" fillId="2" borderId="0" xfId="0" applyNumberFormat="1" applyFont="1" applyFill="1" applyBorder="1"/>
    <xf numFmtId="0" fontId="9" fillId="2" borderId="0" xfId="0" applyFont="1" applyFill="1" applyBorder="1" applyAlignment="1">
      <alignment horizontal="center"/>
    </xf>
    <xf numFmtId="0" fontId="0" fillId="2" borderId="30" xfId="0" applyFill="1" applyBorder="1"/>
    <xf numFmtId="0" fontId="0" fillId="2" borderId="31" xfId="0" applyFill="1" applyBorder="1"/>
    <xf numFmtId="0" fontId="0" fillId="2" borderId="32" xfId="0" applyFill="1" applyBorder="1"/>
    <xf numFmtId="0" fontId="6" fillId="3" borderId="0" xfId="0" applyFont="1" applyFill="1" applyBorder="1" applyAlignment="1">
      <alignment horizontal="right"/>
    </xf>
    <xf numFmtId="8" fontId="20" fillId="2" borderId="0" xfId="0" applyNumberFormat="1" applyFont="1" applyFill="1" applyBorder="1"/>
    <xf numFmtId="167" fontId="0" fillId="4" borderId="36" xfId="0" applyNumberFormat="1" applyFill="1" applyBorder="1"/>
    <xf numFmtId="6" fontId="0" fillId="4" borderId="36" xfId="0" applyNumberFormat="1" applyFill="1" applyBorder="1"/>
    <xf numFmtId="165" fontId="0" fillId="4" borderId="36" xfId="0" applyNumberFormat="1" applyFill="1" applyBorder="1"/>
    <xf numFmtId="0" fontId="0" fillId="4" borderId="25" xfId="0" applyFill="1" applyBorder="1"/>
    <xf numFmtId="0" fontId="0" fillId="4" borderId="26" xfId="0" applyFill="1" applyBorder="1"/>
    <xf numFmtId="0" fontId="0" fillId="4" borderId="27" xfId="0" applyFill="1" applyBorder="1"/>
    <xf numFmtId="0" fontId="0" fillId="4" borderId="28" xfId="0" applyFill="1" applyBorder="1"/>
    <xf numFmtId="0" fontId="10" fillId="4" borderId="0" xfId="0" applyFont="1" applyFill="1" applyBorder="1" applyAlignment="1">
      <alignment horizontal="center"/>
    </xf>
    <xf numFmtId="0" fontId="0" fillId="4" borderId="29" xfId="0" applyFill="1" applyBorder="1"/>
    <xf numFmtId="167" fontId="0" fillId="4" borderId="0" xfId="0" applyNumberFormat="1" applyFill="1" applyBorder="1"/>
    <xf numFmtId="6" fontId="0" fillId="4" borderId="0" xfId="0" applyNumberFormat="1" applyFill="1" applyBorder="1"/>
    <xf numFmtId="165" fontId="22" fillId="4" borderId="0" xfId="0" applyNumberFormat="1" applyFont="1" applyFill="1" applyBorder="1"/>
    <xf numFmtId="0" fontId="0" fillId="4" borderId="30" xfId="0" applyFill="1" applyBorder="1"/>
    <xf numFmtId="0" fontId="0" fillId="4" borderId="31" xfId="0" applyFill="1" applyBorder="1"/>
    <xf numFmtId="0" fontId="0" fillId="4" borderId="32" xfId="0" applyFill="1" applyBorder="1"/>
    <xf numFmtId="14" fontId="31" fillId="2" borderId="0" xfId="0" applyNumberFormat="1" applyFont="1" applyFill="1" applyBorder="1" applyAlignment="1">
      <alignment horizontal="center"/>
    </xf>
    <xf numFmtId="0" fontId="33" fillId="2" borderId="0" xfId="0" applyFont="1" applyFill="1" applyBorder="1" applyAlignment="1">
      <alignment horizontal="right"/>
    </xf>
    <xf numFmtId="6" fontId="33" fillId="2" borderId="0" xfId="0" applyNumberFormat="1" applyFont="1" applyFill="1" applyBorder="1"/>
    <xf numFmtId="0" fontId="9" fillId="2" borderId="0" xfId="0" applyFont="1" applyFill="1" applyBorder="1" applyAlignment="1">
      <alignment horizontal="left" indent="4"/>
    </xf>
    <xf numFmtId="6" fontId="20" fillId="2" borderId="0" xfId="0" applyNumberFormat="1" applyFont="1" applyFill="1" applyBorder="1" applyAlignment="1">
      <alignment horizontal="center"/>
    </xf>
    <xf numFmtId="0" fontId="3" fillId="2" borderId="0" xfId="0" applyFont="1" applyFill="1" applyBorder="1"/>
    <xf numFmtId="6" fontId="7" fillId="2" borderId="0" xfId="0" applyNumberFormat="1" applyFont="1" applyFill="1" applyBorder="1"/>
    <xf numFmtId="0" fontId="7" fillId="2" borderId="0" xfId="0" applyFont="1" applyFill="1" applyBorder="1"/>
    <xf numFmtId="0" fontId="0" fillId="0" borderId="24" xfId="0" applyBorder="1"/>
    <xf numFmtId="8" fontId="0" fillId="4" borderId="0" xfId="0" applyNumberFormat="1" applyFill="1" applyBorder="1"/>
    <xf numFmtId="0" fontId="0" fillId="2" borderId="0" xfId="0" applyFill="1" applyBorder="1" applyAlignment="1">
      <alignment horizontal="center"/>
    </xf>
    <xf numFmtId="0" fontId="0" fillId="2" borderId="0" xfId="0" applyFill="1" applyBorder="1" applyAlignment="1">
      <alignment horizontal="right"/>
    </xf>
    <xf numFmtId="164" fontId="0" fillId="8" borderId="10" xfId="0" applyNumberFormat="1" applyFill="1" applyBorder="1"/>
    <xf numFmtId="10" fontId="0" fillId="8" borderId="10" xfId="2" applyNumberFormat="1" applyFont="1" applyFill="1" applyBorder="1" applyAlignment="1">
      <alignment horizontal="center"/>
    </xf>
    <xf numFmtId="0" fontId="0" fillId="8" borderId="10" xfId="0" applyFill="1" applyBorder="1" applyAlignment="1">
      <alignment horizontal="center"/>
    </xf>
    <xf numFmtId="164" fontId="0" fillId="4" borderId="10" xfId="0" applyNumberFormat="1" applyFill="1" applyBorder="1"/>
    <xf numFmtId="165" fontId="0" fillId="8" borderId="10" xfId="0" applyNumberFormat="1" applyFill="1" applyBorder="1"/>
    <xf numFmtId="10" fontId="0" fillId="8" borderId="10" xfId="2" applyNumberFormat="1" applyFont="1" applyFill="1" applyBorder="1"/>
    <xf numFmtId="14" fontId="0" fillId="8" borderId="10" xfId="0" applyNumberFormat="1" applyFill="1" applyBorder="1"/>
    <xf numFmtId="0" fontId="0" fillId="8" borderId="10" xfId="2" applyNumberFormat="1" applyFont="1" applyFill="1" applyBorder="1"/>
    <xf numFmtId="6" fontId="0" fillId="2" borderId="0" xfId="0" applyNumberFormat="1" applyFill="1" applyBorder="1"/>
    <xf numFmtId="6" fontId="11" fillId="2" borderId="0" xfId="0" applyNumberFormat="1" applyFont="1" applyFill="1" applyBorder="1"/>
    <xf numFmtId="0" fontId="0" fillId="0" borderId="0" xfId="0" applyBorder="1"/>
    <xf numFmtId="0" fontId="0" fillId="2" borderId="29" xfId="0" applyFill="1" applyBorder="1" applyAlignment="1">
      <alignment horizontal="center"/>
    </xf>
    <xf numFmtId="0" fontId="9" fillId="2" borderId="0" xfId="0" applyFont="1" applyFill="1" applyBorder="1" applyAlignment="1">
      <alignment wrapText="1"/>
    </xf>
    <xf numFmtId="6" fontId="9" fillId="2" borderId="0" xfId="1" applyNumberFormat="1" applyFont="1" applyFill="1" applyBorder="1"/>
    <xf numFmtId="6" fontId="0" fillId="2" borderId="29" xfId="0" applyNumberFormat="1" applyFill="1" applyBorder="1"/>
    <xf numFmtId="0" fontId="0" fillId="2" borderId="0" xfId="0" applyFont="1" applyFill="1" applyBorder="1" applyAlignment="1">
      <alignment wrapText="1"/>
    </xf>
    <xf numFmtId="6" fontId="0" fillId="2" borderId="0" xfId="2" applyNumberFormat="1" applyFont="1" applyFill="1" applyBorder="1"/>
    <xf numFmtId="0" fontId="0" fillId="2" borderId="0" xfId="0" applyFont="1" applyFill="1" applyBorder="1" applyAlignment="1"/>
    <xf numFmtId="6" fontId="12" fillId="2" borderId="0" xfId="1" applyNumberFormat="1" applyFont="1" applyFill="1" applyBorder="1"/>
    <xf numFmtId="6" fontId="12" fillId="2" borderId="29" xfId="1" applyNumberFormat="1" applyFont="1" applyFill="1" applyBorder="1"/>
    <xf numFmtId="6" fontId="0" fillId="2" borderId="0" xfId="1" applyNumberFormat="1" applyFont="1" applyFill="1" applyBorder="1"/>
    <xf numFmtId="6" fontId="12" fillId="2" borderId="0" xfId="0" applyNumberFormat="1" applyFont="1" applyFill="1" applyBorder="1"/>
    <xf numFmtId="6" fontId="12" fillId="2" borderId="29" xfId="0" applyNumberFormat="1" applyFont="1" applyFill="1" applyBorder="1"/>
    <xf numFmtId="6" fontId="10" fillId="2" borderId="0" xfId="0" applyNumberFormat="1" applyFont="1" applyFill="1" applyBorder="1"/>
    <xf numFmtId="0" fontId="20" fillId="2" borderId="0" xfId="0" applyFont="1" applyFill="1" applyBorder="1" applyAlignment="1">
      <alignment horizontal="right" indent="1"/>
    </xf>
    <xf numFmtId="164" fontId="9" fillId="2" borderId="29" xfId="0" applyNumberFormat="1" applyFont="1" applyFill="1" applyBorder="1"/>
    <xf numFmtId="0" fontId="18" fillId="2" borderId="0" xfId="0" applyFont="1" applyFill="1" applyBorder="1" applyAlignment="1">
      <alignment horizontal="left" wrapText="1" indent="3"/>
    </xf>
    <xf numFmtId="0" fontId="18" fillId="2" borderId="29" xfId="0" applyFont="1" applyFill="1" applyBorder="1" applyAlignment="1">
      <alignment horizontal="center"/>
    </xf>
    <xf numFmtId="164" fontId="23" fillId="2" borderId="0" xfId="2" applyNumberFormat="1" applyFont="1" applyFill="1" applyBorder="1"/>
    <xf numFmtId="164" fontId="23" fillId="2" borderId="29" xfId="2" applyNumberFormat="1" applyFont="1" applyFill="1" applyBorder="1"/>
    <xf numFmtId="0" fontId="18" fillId="2" borderId="0" xfId="0" applyFont="1" applyFill="1" applyBorder="1" applyAlignment="1">
      <alignment horizontal="left" indent="1"/>
    </xf>
    <xf numFmtId="0" fontId="20" fillId="2" borderId="29" xfId="0" applyFont="1" applyFill="1" applyBorder="1" applyAlignment="1">
      <alignment horizontal="center"/>
    </xf>
    <xf numFmtId="0" fontId="9" fillId="2" borderId="29" xfId="0" applyFont="1" applyFill="1" applyBorder="1"/>
    <xf numFmtId="0" fontId="10" fillId="2" borderId="29" xfId="0" applyFont="1" applyFill="1" applyBorder="1" applyAlignment="1">
      <alignment horizontal="center"/>
    </xf>
    <xf numFmtId="0" fontId="0" fillId="9" borderId="0" xfId="0" applyFill="1"/>
    <xf numFmtId="0" fontId="0" fillId="3" borderId="0" xfId="0" applyFill="1" applyBorder="1" applyAlignment="1">
      <alignment wrapText="1"/>
    </xf>
    <xf numFmtId="0" fontId="0" fillId="6" borderId="28" xfId="0" applyFill="1" applyBorder="1"/>
    <xf numFmtId="0" fontId="0" fillId="6" borderId="0" xfId="0" applyFill="1" applyBorder="1"/>
    <xf numFmtId="0" fontId="0" fillId="6" borderId="29" xfId="0" applyFill="1" applyBorder="1"/>
    <xf numFmtId="0" fontId="0" fillId="6" borderId="30" xfId="0" applyFill="1" applyBorder="1"/>
    <xf numFmtId="0" fontId="0" fillId="6" borderId="31" xfId="0" applyFill="1" applyBorder="1"/>
    <xf numFmtId="0" fontId="0" fillId="6" borderId="32" xfId="0" applyFill="1" applyBorder="1"/>
    <xf numFmtId="0" fontId="0" fillId="6" borderId="25" xfId="0" applyFill="1" applyBorder="1"/>
    <xf numFmtId="0" fontId="0" fillId="6" borderId="26" xfId="0" applyFill="1" applyBorder="1"/>
    <xf numFmtId="0" fontId="30" fillId="6" borderId="26" xfId="0" applyFont="1" applyFill="1" applyBorder="1" applyAlignment="1">
      <alignment horizontal="center"/>
    </xf>
    <xf numFmtId="0" fontId="31" fillId="2" borderId="0" xfId="0" applyFont="1" applyFill="1" applyBorder="1"/>
    <xf numFmtId="164" fontId="9" fillId="2" borderId="0" xfId="1" applyNumberFormat="1" applyFont="1" applyFill="1" applyBorder="1"/>
    <xf numFmtId="8" fontId="0" fillId="2" borderId="0" xfId="2" applyNumberFormat="1" applyFont="1" applyFill="1" applyBorder="1"/>
    <xf numFmtId="0" fontId="9" fillId="2" borderId="0" xfId="0" applyFont="1" applyFill="1" applyBorder="1" applyAlignment="1">
      <alignment horizontal="left" indent="1"/>
    </xf>
    <xf numFmtId="10" fontId="8" fillId="2" borderId="0" xfId="2" applyNumberFormat="1" applyFont="1" applyFill="1" applyBorder="1"/>
    <xf numFmtId="0" fontId="0" fillId="2" borderId="0" xfId="0" applyFont="1" applyFill="1" applyBorder="1" applyAlignment="1">
      <alignment horizontal="left" indent="1"/>
    </xf>
    <xf numFmtId="8" fontId="12" fillId="2" borderId="0" xfId="1" applyNumberFormat="1" applyFont="1" applyFill="1" applyBorder="1"/>
    <xf numFmtId="164" fontId="0" fillId="2" borderId="0" xfId="1" applyNumberFormat="1" applyFont="1" applyFill="1" applyBorder="1"/>
    <xf numFmtId="10" fontId="9" fillId="2" borderId="0" xfId="2" applyNumberFormat="1" applyFont="1" applyFill="1" applyBorder="1"/>
    <xf numFmtId="164" fontId="9" fillId="2" borderId="0" xfId="2" applyNumberFormat="1" applyFont="1" applyFill="1" applyBorder="1"/>
    <xf numFmtId="164" fontId="12" fillId="2" borderId="0" xfId="0" applyNumberFormat="1" applyFont="1" applyFill="1" applyBorder="1"/>
    <xf numFmtId="8" fontId="12" fillId="2" borderId="0" xfId="0" applyNumberFormat="1" applyFont="1" applyFill="1" applyBorder="1"/>
    <xf numFmtId="164" fontId="10" fillId="2" borderId="0" xfId="0" applyNumberFormat="1" applyFont="1" applyFill="1" applyBorder="1"/>
    <xf numFmtId="0" fontId="20" fillId="2" borderId="0" xfId="0" applyFont="1" applyFill="1" applyBorder="1" applyAlignment="1">
      <alignment wrapText="1"/>
    </xf>
    <xf numFmtId="0" fontId="20" fillId="2" borderId="0" xfId="0" applyFont="1" applyFill="1" applyBorder="1"/>
    <xf numFmtId="8" fontId="14" fillId="2" borderId="0" xfId="0" applyNumberFormat="1" applyFont="1" applyFill="1" applyBorder="1"/>
    <xf numFmtId="0" fontId="18" fillId="2" borderId="0" xfId="0" applyFont="1" applyFill="1" applyBorder="1" applyAlignment="1">
      <alignment horizontal="left" wrapText="1" indent="1"/>
    </xf>
    <xf numFmtId="10" fontId="0" fillId="2" borderId="0" xfId="2" applyNumberFormat="1" applyFont="1" applyFill="1" applyBorder="1"/>
    <xf numFmtId="0" fontId="9" fillId="2" borderId="0" xfId="0" applyFont="1" applyFill="1" applyBorder="1" applyAlignment="1">
      <alignment horizontal="left" indent="3"/>
    </xf>
    <xf numFmtId="0" fontId="36" fillId="2" borderId="25" xfId="0" applyFont="1" applyFill="1" applyBorder="1" applyAlignment="1">
      <alignment horizontal="center" vertical="center" wrapText="1"/>
    </xf>
    <xf numFmtId="0" fontId="0" fillId="2" borderId="27" xfId="0" applyFill="1" applyBorder="1" applyAlignment="1">
      <alignment horizontal="center"/>
    </xf>
    <xf numFmtId="14" fontId="0" fillId="2" borderId="29" xfId="0" applyNumberFormat="1" applyFill="1" applyBorder="1" applyAlignment="1">
      <alignment horizontal="center"/>
    </xf>
    <xf numFmtId="164" fontId="0" fillId="2" borderId="29" xfId="0" applyNumberFormat="1" applyFill="1" applyBorder="1" applyAlignment="1">
      <alignment horizontal="center"/>
    </xf>
    <xf numFmtId="8" fontId="12" fillId="2" borderId="29" xfId="0" applyNumberFormat="1" applyFont="1" applyFill="1" applyBorder="1" applyAlignment="1">
      <alignment horizontal="center"/>
    </xf>
    <xf numFmtId="8" fontId="14" fillId="2" borderId="29" xfId="0" applyNumberFormat="1" applyFont="1" applyFill="1" applyBorder="1" applyAlignment="1">
      <alignment horizontal="center"/>
    </xf>
    <xf numFmtId="0" fontId="9" fillId="2" borderId="29" xfId="0" applyFont="1" applyFill="1" applyBorder="1" applyAlignment="1">
      <alignment horizontal="center"/>
    </xf>
    <xf numFmtId="164" fontId="9" fillId="2" borderId="29" xfId="0" applyNumberFormat="1" applyFont="1" applyFill="1" applyBorder="1" applyAlignment="1">
      <alignment horizontal="center"/>
    </xf>
    <xf numFmtId="0" fontId="0" fillId="2" borderId="32" xfId="0" applyFill="1" applyBorder="1" applyAlignment="1">
      <alignment horizontal="center"/>
    </xf>
    <xf numFmtId="14" fontId="31" fillId="2" borderId="29" xfId="0" applyNumberFormat="1" applyFont="1" applyFill="1" applyBorder="1" applyAlignment="1">
      <alignment horizontal="center"/>
    </xf>
    <xf numFmtId="8" fontId="0" fillId="2" borderId="29" xfId="0" applyNumberFormat="1" applyFill="1" applyBorder="1"/>
    <xf numFmtId="8" fontId="12" fillId="2" borderId="29" xfId="1" applyNumberFormat="1" applyFont="1" applyFill="1" applyBorder="1"/>
    <xf numFmtId="164" fontId="0" fillId="2" borderId="29" xfId="1" applyNumberFormat="1" applyFont="1" applyFill="1" applyBorder="1"/>
    <xf numFmtId="10" fontId="9" fillId="2" borderId="29" xfId="2" applyNumberFormat="1" applyFont="1" applyFill="1" applyBorder="1"/>
    <xf numFmtId="164" fontId="9" fillId="2" borderId="29" xfId="2" applyNumberFormat="1" applyFont="1" applyFill="1" applyBorder="1"/>
    <xf numFmtId="164" fontId="12" fillId="2" borderId="29" xfId="0" applyNumberFormat="1" applyFont="1" applyFill="1" applyBorder="1"/>
    <xf numFmtId="164" fontId="10" fillId="2" borderId="29" xfId="0" applyNumberFormat="1" applyFont="1" applyFill="1" applyBorder="1"/>
    <xf numFmtId="8" fontId="11" fillId="2" borderId="29" xfId="0" applyNumberFormat="1" applyFont="1" applyFill="1" applyBorder="1"/>
    <xf numFmtId="8" fontId="14" fillId="2" borderId="29" xfId="0" applyNumberFormat="1" applyFont="1" applyFill="1" applyBorder="1"/>
    <xf numFmtId="10" fontId="0" fillId="2" borderId="29" xfId="2" applyNumberFormat="1" applyFont="1" applyFill="1" applyBorder="1"/>
    <xf numFmtId="1" fontId="9" fillId="2" borderId="29" xfId="0" applyNumberFormat="1" applyFont="1" applyFill="1" applyBorder="1"/>
    <xf numFmtId="0" fontId="18" fillId="2" borderId="0" xfId="0" applyFont="1" applyFill="1" applyBorder="1" applyAlignment="1">
      <alignment horizontal="left" indent="3"/>
    </xf>
    <xf numFmtId="0" fontId="9" fillId="2" borderId="0" xfId="0" applyFont="1" applyFill="1" applyBorder="1" applyAlignment="1"/>
    <xf numFmtId="0" fontId="0" fillId="2" borderId="27" xfId="0" applyFill="1" applyBorder="1" applyAlignment="1">
      <alignment horizontal="right"/>
    </xf>
    <xf numFmtId="0" fontId="0" fillId="2" borderId="26" xfId="0" applyFill="1" applyBorder="1" applyAlignment="1">
      <alignment horizontal="right"/>
    </xf>
    <xf numFmtId="0" fontId="39" fillId="2" borderId="0" xfId="0" applyFont="1" applyFill="1" applyBorder="1"/>
    <xf numFmtId="0" fontId="41" fillId="2" borderId="0" xfId="0" applyFont="1" applyFill="1" applyBorder="1" applyAlignment="1"/>
    <xf numFmtId="0" fontId="0" fillId="2" borderId="0" xfId="0" applyFill="1" applyBorder="1" applyAlignment="1">
      <alignment horizontal="left" wrapText="1" readingOrder="1"/>
    </xf>
    <xf numFmtId="0" fontId="21" fillId="2" borderId="0" xfId="0" applyFont="1" applyFill="1"/>
    <xf numFmtId="0" fontId="0" fillId="2" borderId="0" xfId="0" applyFill="1" applyBorder="1" applyAlignment="1">
      <alignment horizontal="center" wrapText="1"/>
    </xf>
    <xf numFmtId="0" fontId="42" fillId="2" borderId="0" xfId="0" applyFont="1" applyFill="1" applyBorder="1" applyAlignment="1">
      <alignment horizontal="center"/>
    </xf>
    <xf numFmtId="6" fontId="21" fillId="2" borderId="0" xfId="0" applyNumberFormat="1" applyFont="1" applyFill="1" applyBorder="1" applyAlignment="1">
      <alignment horizontal="center"/>
    </xf>
    <xf numFmtId="10" fontId="8" fillId="2" borderId="29" xfId="2" applyNumberFormat="1" applyFont="1" applyFill="1" applyBorder="1"/>
    <xf numFmtId="1" fontId="10" fillId="2" borderId="0" xfId="0" applyNumberFormat="1" applyFont="1" applyFill="1" applyBorder="1" applyAlignment="1">
      <alignment horizontal="center"/>
    </xf>
    <xf numFmtId="1" fontId="10" fillId="2" borderId="29" xfId="0" applyNumberFormat="1" applyFont="1" applyFill="1" applyBorder="1" applyAlignment="1">
      <alignment horizontal="center"/>
    </xf>
    <xf numFmtId="1" fontId="10" fillId="4" borderId="0" xfId="0" applyNumberFormat="1" applyFont="1" applyFill="1" applyBorder="1" applyAlignment="1">
      <alignment horizontal="center"/>
    </xf>
    <xf numFmtId="164" fontId="9" fillId="2" borderId="0" xfId="0" applyNumberFormat="1" applyFont="1" applyFill="1" applyBorder="1"/>
    <xf numFmtId="164" fontId="0" fillId="4" borderId="0" xfId="0" applyNumberFormat="1" applyFill="1" applyBorder="1"/>
    <xf numFmtId="0" fontId="0" fillId="3" borderId="0" xfId="0" applyFill="1" applyBorder="1"/>
    <xf numFmtId="0" fontId="31" fillId="6" borderId="0" xfId="0" applyFont="1" applyFill="1"/>
    <xf numFmtId="10" fontId="9" fillId="10" borderId="0" xfId="2" applyNumberFormat="1" applyFont="1" applyFill="1" applyBorder="1"/>
    <xf numFmtId="10" fontId="9" fillId="10" borderId="29" xfId="2" applyNumberFormat="1" applyFont="1" applyFill="1" applyBorder="1"/>
    <xf numFmtId="9" fontId="6" fillId="2" borderId="28" xfId="2" applyFont="1" applyFill="1" applyBorder="1"/>
    <xf numFmtId="0" fontId="9" fillId="2" borderId="0" xfId="0" applyFont="1" applyFill="1" applyBorder="1" applyAlignment="1">
      <alignment horizontal="right"/>
    </xf>
    <xf numFmtId="168" fontId="18" fillId="13" borderId="0" xfId="2" applyNumberFormat="1" applyFont="1" applyFill="1" applyBorder="1"/>
    <xf numFmtId="6" fontId="5" fillId="12" borderId="0" xfId="0" applyNumberFormat="1" applyFont="1" applyFill="1" applyBorder="1"/>
    <xf numFmtId="0" fontId="0" fillId="12" borderId="3" xfId="0" applyFill="1" applyBorder="1"/>
    <xf numFmtId="0" fontId="0" fillId="12" borderId="4" xfId="0" applyFill="1" applyBorder="1"/>
    <xf numFmtId="0" fontId="0" fillId="12" borderId="6" xfId="0" applyFill="1" applyBorder="1"/>
    <xf numFmtId="0" fontId="0" fillId="12" borderId="5" xfId="0" applyFill="1" applyBorder="1"/>
    <xf numFmtId="0" fontId="0" fillId="12" borderId="7" xfId="0" applyFill="1" applyBorder="1"/>
    <xf numFmtId="0" fontId="5" fillId="12" borderId="8" xfId="0" applyFont="1" applyFill="1" applyBorder="1"/>
    <xf numFmtId="6" fontId="5" fillId="12" borderId="8" xfId="0" applyNumberFormat="1" applyFont="1" applyFill="1" applyBorder="1"/>
    <xf numFmtId="0" fontId="0" fillId="12" borderId="9" xfId="0" applyFill="1" applyBorder="1"/>
    <xf numFmtId="0" fontId="0" fillId="12" borderId="0" xfId="0" applyFill="1" applyBorder="1"/>
    <xf numFmtId="0" fontId="0" fillId="12" borderId="8" xfId="0" applyFill="1" applyBorder="1"/>
    <xf numFmtId="0" fontId="0" fillId="7" borderId="28" xfId="0" applyFill="1" applyBorder="1"/>
    <xf numFmtId="0" fontId="0" fillId="7" borderId="0" xfId="0" applyFill="1" applyBorder="1"/>
    <xf numFmtId="0" fontId="0" fillId="7" borderId="0" xfId="0" applyFill="1"/>
    <xf numFmtId="0" fontId="9" fillId="7" borderId="0" xfId="0" applyFont="1" applyFill="1" applyBorder="1" applyAlignment="1">
      <alignment horizontal="left" indent="1"/>
    </xf>
    <xf numFmtId="0" fontId="9" fillId="7" borderId="0" xfId="0" applyFont="1" applyFill="1" applyBorder="1"/>
    <xf numFmtId="10" fontId="9" fillId="7" borderId="0" xfId="2" applyNumberFormat="1" applyFont="1" applyFill="1" applyBorder="1"/>
    <xf numFmtId="10" fontId="9" fillId="7" borderId="29" xfId="2" applyNumberFormat="1" applyFont="1" applyFill="1" applyBorder="1"/>
    <xf numFmtId="0" fontId="0" fillId="7" borderId="6" xfId="0" applyFill="1" applyBorder="1"/>
    <xf numFmtId="0" fontId="0" fillId="0" borderId="7" xfId="0" applyBorder="1"/>
    <xf numFmtId="0" fontId="0" fillId="2" borderId="4" xfId="0" applyFill="1" applyBorder="1"/>
    <xf numFmtId="0" fontId="0" fillId="2" borderId="6" xfId="0" applyFill="1" applyBorder="1"/>
    <xf numFmtId="0" fontId="0" fillId="2" borderId="5" xfId="0" applyFill="1" applyBorder="1"/>
    <xf numFmtId="0" fontId="0" fillId="2" borderId="8" xfId="0" applyFill="1" applyBorder="1"/>
    <xf numFmtId="0" fontId="9" fillId="7" borderId="0" xfId="0" applyFont="1" applyFill="1" applyBorder="1" applyAlignment="1">
      <alignment horizontal="left" indent="2"/>
    </xf>
    <xf numFmtId="164" fontId="9" fillId="7" borderId="0" xfId="0" applyNumberFormat="1" applyFont="1" applyFill="1" applyBorder="1"/>
    <xf numFmtId="164" fontId="9" fillId="7" borderId="29" xfId="0" applyNumberFormat="1" applyFont="1" applyFill="1" applyBorder="1"/>
    <xf numFmtId="0" fontId="20" fillId="7" borderId="0" xfId="0" applyFont="1" applyFill="1" applyBorder="1" applyAlignment="1">
      <alignment horizontal="center"/>
    </xf>
    <xf numFmtId="0" fontId="20" fillId="7" borderId="29" xfId="0" applyFont="1" applyFill="1" applyBorder="1" applyAlignment="1">
      <alignment horizontal="center"/>
    </xf>
    <xf numFmtId="0" fontId="21" fillId="7" borderId="0" xfId="0" applyFont="1" applyFill="1"/>
    <xf numFmtId="0" fontId="42" fillId="7" borderId="0" xfId="0" applyFont="1" applyFill="1" applyBorder="1" applyAlignment="1">
      <alignment horizontal="center"/>
    </xf>
    <xf numFmtId="164" fontId="25" fillId="7" borderId="0" xfId="2" applyNumberFormat="1" applyFont="1" applyFill="1" applyBorder="1"/>
    <xf numFmtId="164" fontId="25" fillId="7" borderId="29" xfId="2" applyNumberFormat="1" applyFont="1" applyFill="1" applyBorder="1"/>
    <xf numFmtId="164" fontId="9" fillId="7" borderId="0" xfId="2" applyNumberFormat="1" applyFont="1" applyFill="1" applyBorder="1"/>
    <xf numFmtId="0" fontId="0" fillId="7" borderId="5" xfId="0" applyFill="1" applyBorder="1"/>
    <xf numFmtId="0" fontId="0" fillId="7" borderId="1" xfId="0" applyFill="1" applyBorder="1"/>
    <xf numFmtId="0" fontId="0" fillId="7" borderId="19" xfId="0" applyFill="1" applyBorder="1"/>
    <xf numFmtId="0" fontId="16" fillId="7" borderId="0" xfId="0" applyFont="1" applyFill="1" applyBorder="1" applyAlignment="1">
      <alignment horizontal="right"/>
    </xf>
    <xf numFmtId="0" fontId="2" fillId="7" borderId="0" xfId="0" applyFont="1" applyFill="1" applyBorder="1" applyAlignment="1">
      <alignment horizontal="right"/>
    </xf>
    <xf numFmtId="10" fontId="0" fillId="7" borderId="10" xfId="2" applyNumberFormat="1" applyFont="1" applyFill="1" applyBorder="1" applyAlignment="1">
      <alignment horizontal="center"/>
    </xf>
    <xf numFmtId="0" fontId="0" fillId="7" borderId="10" xfId="0" applyFill="1" applyBorder="1" applyAlignment="1">
      <alignment horizontal="center"/>
    </xf>
    <xf numFmtId="0" fontId="17" fillId="7" borderId="6" xfId="0" applyFont="1" applyFill="1" applyBorder="1" applyAlignment="1">
      <alignment horizontal="center"/>
    </xf>
    <xf numFmtId="0" fontId="2" fillId="7" borderId="1" xfId="0" applyFont="1" applyFill="1" applyBorder="1"/>
    <xf numFmtId="0" fontId="0" fillId="7" borderId="38" xfId="0" applyFill="1" applyBorder="1" applyAlignment="1">
      <alignment horizontal="right"/>
    </xf>
    <xf numFmtId="0" fontId="0" fillId="7" borderId="37" xfId="0" applyFill="1" applyBorder="1" applyAlignment="1">
      <alignment horizontal="right"/>
    </xf>
    <xf numFmtId="0" fontId="0" fillId="7" borderId="0" xfId="0" applyFill="1" applyBorder="1" applyAlignment="1">
      <alignment horizontal="center"/>
    </xf>
    <xf numFmtId="165" fontId="0" fillId="7" borderId="0" xfId="0" applyNumberFormat="1" applyFill="1" applyBorder="1"/>
    <xf numFmtId="165" fontId="0" fillId="7" borderId="6" xfId="2" applyNumberFormat="1" applyFont="1" applyFill="1" applyBorder="1" applyAlignment="1">
      <alignment horizontal="center"/>
    </xf>
    <xf numFmtId="0" fontId="35" fillId="7" borderId="0" xfId="0" applyFont="1" applyFill="1" applyBorder="1" applyAlignment="1">
      <alignment horizontal="right"/>
    </xf>
    <xf numFmtId="0" fontId="6" fillId="7" borderId="24" xfId="0" applyFont="1" applyFill="1" applyBorder="1" applyAlignment="1">
      <alignment horizontal="center"/>
    </xf>
    <xf numFmtId="0" fontId="26" fillId="7" borderId="0" xfId="4" applyFill="1" applyBorder="1" applyAlignment="1">
      <alignment horizontal="center"/>
    </xf>
    <xf numFmtId="0" fontId="26" fillId="7" borderId="0" xfId="4" applyFont="1" applyFill="1" applyBorder="1" applyAlignment="1">
      <alignment horizontal="center"/>
    </xf>
    <xf numFmtId="0" fontId="16" fillId="7" borderId="6" xfId="0" applyFont="1" applyFill="1" applyBorder="1" applyAlignment="1">
      <alignment horizontal="right"/>
    </xf>
    <xf numFmtId="0" fontId="0" fillId="3" borderId="28" xfId="0" applyFill="1" applyBorder="1" applyAlignment="1">
      <alignment horizontal="center" wrapText="1"/>
    </xf>
    <xf numFmtId="0" fontId="0" fillId="3" borderId="29" xfId="0" applyFill="1" applyBorder="1" applyAlignment="1">
      <alignment horizontal="center" wrapText="1"/>
    </xf>
    <xf numFmtId="169" fontId="37" fillId="7" borderId="24" xfId="2" applyNumberFormat="1" applyFont="1" applyFill="1" applyBorder="1" applyAlignment="1" applyProtection="1">
      <alignment horizontal="center" vertical="center"/>
      <protection locked="0"/>
    </xf>
    <xf numFmtId="0" fontId="37" fillId="7" borderId="24" xfId="3" applyNumberFormat="1" applyFont="1" applyFill="1" applyBorder="1" applyAlignment="1" applyProtection="1">
      <alignment horizontal="center" vertical="center"/>
      <protection locked="0"/>
    </xf>
    <xf numFmtId="0" fontId="0" fillId="2" borderId="64" xfId="0" applyFill="1" applyBorder="1"/>
    <xf numFmtId="0" fontId="0" fillId="2" borderId="57" xfId="0" applyFill="1" applyBorder="1"/>
    <xf numFmtId="0" fontId="0" fillId="12" borderId="0" xfId="0" applyFill="1"/>
    <xf numFmtId="6" fontId="0" fillId="12" borderId="0" xfId="0" applyNumberFormat="1" applyFill="1" applyBorder="1"/>
    <xf numFmtId="171" fontId="11" fillId="2" borderId="0" xfId="0" applyNumberFormat="1" applyFont="1" applyFill="1" applyBorder="1"/>
    <xf numFmtId="169" fontId="48" fillId="2" borderId="0" xfId="2" applyNumberFormat="1" applyFont="1" applyFill="1" applyBorder="1"/>
    <xf numFmtId="6" fontId="49" fillId="2" borderId="39" xfId="3" applyNumberFormat="1" applyFont="1" applyFill="1" applyBorder="1" applyAlignment="1">
      <alignment horizontal="center"/>
    </xf>
    <xf numFmtId="164" fontId="24" fillId="2" borderId="0" xfId="2" applyNumberFormat="1" applyFont="1" applyFill="1" applyBorder="1"/>
    <xf numFmtId="0" fontId="0" fillId="0" borderId="0" xfId="0" applyFill="1"/>
    <xf numFmtId="165" fontId="0" fillId="8" borderId="6" xfId="2" applyNumberFormat="1" applyFont="1" applyFill="1" applyBorder="1" applyAlignment="1">
      <alignment horizontal="center"/>
    </xf>
    <xf numFmtId="8" fontId="0" fillId="4" borderId="36" xfId="0" applyNumberFormat="1" applyFill="1" applyBorder="1"/>
    <xf numFmtId="6" fontId="0" fillId="2" borderId="0" xfId="0" applyNumberFormat="1" applyFont="1" applyFill="1" applyBorder="1"/>
    <xf numFmtId="168" fontId="51" fillId="2" borderId="24" xfId="2" applyNumberFormat="1" applyFont="1" applyFill="1" applyBorder="1" applyAlignment="1">
      <alignment horizontal="center"/>
    </xf>
    <xf numFmtId="170" fontId="51" fillId="2" borderId="24" xfId="2" applyNumberFormat="1" applyFont="1" applyFill="1" applyBorder="1" applyAlignment="1">
      <alignment horizontal="center"/>
    </xf>
    <xf numFmtId="0" fontId="0" fillId="2" borderId="28" xfId="0" applyFill="1" applyBorder="1" applyAlignment="1">
      <alignment horizontal="center"/>
    </xf>
    <xf numFmtId="1" fontId="10" fillId="2" borderId="28" xfId="0" applyNumberFormat="1" applyFont="1" applyFill="1" applyBorder="1" applyAlignment="1">
      <alignment horizontal="center"/>
    </xf>
    <xf numFmtId="6" fontId="0" fillId="2" borderId="28" xfId="0" applyNumberFormat="1" applyFill="1" applyBorder="1"/>
    <xf numFmtId="6" fontId="12" fillId="2" borderId="28" xfId="1" applyNumberFormat="1" applyFont="1" applyFill="1" applyBorder="1"/>
    <xf numFmtId="6" fontId="0" fillId="2" borderId="28" xfId="1" applyNumberFormat="1" applyFont="1" applyFill="1" applyBorder="1"/>
    <xf numFmtId="6" fontId="12" fillId="2" borderId="28" xfId="0" applyNumberFormat="1" applyFont="1" applyFill="1" applyBorder="1"/>
    <xf numFmtId="6" fontId="10" fillId="2" borderId="28" xfId="0" applyNumberFormat="1" applyFont="1" applyFill="1" applyBorder="1"/>
    <xf numFmtId="6" fontId="11" fillId="2" borderId="28" xfId="0" applyNumberFormat="1" applyFont="1" applyFill="1" applyBorder="1"/>
    <xf numFmtId="6" fontId="0" fillId="2" borderId="28" xfId="0" applyNumberFormat="1" applyFont="1" applyFill="1" applyBorder="1"/>
    <xf numFmtId="6" fontId="0" fillId="2" borderId="30" xfId="0" applyNumberFormat="1" applyFont="1" applyFill="1" applyBorder="1"/>
    <xf numFmtId="0" fontId="51" fillId="2" borderId="0" xfId="0" applyFont="1" applyFill="1" applyBorder="1" applyAlignment="1">
      <alignment horizontal="center"/>
    </xf>
    <xf numFmtId="0" fontId="51" fillId="2" borderId="28" xfId="0" applyFont="1" applyFill="1" applyBorder="1" applyAlignment="1">
      <alignment horizontal="center"/>
    </xf>
    <xf numFmtId="0" fontId="51" fillId="2" borderId="0" xfId="0" applyFont="1" applyFill="1" applyBorder="1" applyAlignment="1">
      <alignment horizontal="center" wrapText="1"/>
    </xf>
    <xf numFmtId="0" fontId="0" fillId="2" borderId="0" xfId="0" applyFont="1" applyFill="1" applyBorder="1"/>
    <xf numFmtId="0" fontId="0" fillId="2" borderId="28" xfId="0" applyFont="1" applyFill="1" applyBorder="1"/>
    <xf numFmtId="0" fontId="18" fillId="2" borderId="0" xfId="0" applyFont="1" applyFill="1" applyBorder="1"/>
    <xf numFmtId="0" fontId="53" fillId="2" borderId="0" xfId="0" applyFont="1" applyFill="1" applyBorder="1"/>
    <xf numFmtId="0" fontId="18" fillId="2" borderId="0" xfId="0" applyFont="1" applyFill="1" applyBorder="1" applyAlignment="1">
      <alignment horizontal="right" indent="1"/>
    </xf>
    <xf numFmtId="6" fontId="18" fillId="2" borderId="0" xfId="0" applyNumberFormat="1" applyFont="1" applyFill="1" applyBorder="1"/>
    <xf numFmtId="0" fontId="51" fillId="2" borderId="0" xfId="0" applyFont="1" applyFill="1" applyBorder="1" applyAlignment="1">
      <alignment horizontal="left" indent="4"/>
    </xf>
    <xf numFmtId="0" fontId="37" fillId="2" borderId="0" xfId="0" applyFont="1" applyFill="1" applyBorder="1"/>
    <xf numFmtId="0" fontId="51" fillId="2" borderId="0" xfId="0" applyFont="1" applyFill="1" applyBorder="1" applyAlignment="1">
      <alignment horizontal="right" indent="1"/>
    </xf>
    <xf numFmtId="6" fontId="51" fillId="2" borderId="0" xfId="0" applyNumberFormat="1" applyFont="1" applyFill="1" applyBorder="1"/>
    <xf numFmtId="0" fontId="10" fillId="2" borderId="26" xfId="0" applyFont="1" applyFill="1" applyBorder="1"/>
    <xf numFmtId="0" fontId="0" fillId="0" borderId="26" xfId="0" applyBorder="1"/>
    <xf numFmtId="0" fontId="7" fillId="2" borderId="26" xfId="0" applyFont="1" applyFill="1" applyBorder="1"/>
    <xf numFmtId="0" fontId="18" fillId="2" borderId="26" xfId="0" applyFont="1" applyFill="1" applyBorder="1" applyAlignment="1">
      <alignment horizontal="center"/>
    </xf>
    <xf numFmtId="0" fontId="18" fillId="2" borderId="25" xfId="0" applyFont="1" applyFill="1" applyBorder="1" applyAlignment="1">
      <alignment horizontal="center"/>
    </xf>
    <xf numFmtId="0" fontId="9" fillId="2" borderId="27" xfId="0" applyFont="1" applyFill="1" applyBorder="1"/>
    <xf numFmtId="0" fontId="9" fillId="2" borderId="26" xfId="0" applyFont="1" applyFill="1" applyBorder="1"/>
    <xf numFmtId="0" fontId="18" fillId="2" borderId="26" xfId="0" applyFont="1" applyFill="1" applyBorder="1"/>
    <xf numFmtId="164" fontId="52" fillId="2" borderId="26" xfId="0" applyNumberFormat="1" applyFont="1" applyFill="1" applyBorder="1"/>
    <xf numFmtId="164" fontId="52" fillId="2" borderId="25" xfId="0" applyNumberFormat="1" applyFont="1" applyFill="1" applyBorder="1"/>
    <xf numFmtId="6" fontId="0" fillId="2" borderId="36" xfId="0" applyNumberFormat="1" applyFont="1" applyFill="1" applyBorder="1"/>
    <xf numFmtId="0" fontId="0" fillId="2" borderId="28" xfId="0" applyFill="1" applyBorder="1" applyAlignment="1">
      <alignment horizontal="right"/>
    </xf>
    <xf numFmtId="0" fontId="39" fillId="0" borderId="24" xfId="0" applyFont="1" applyBorder="1" applyAlignment="1">
      <alignment horizontal="center" vertical="center"/>
    </xf>
    <xf numFmtId="6" fontId="0" fillId="2" borderId="26" xfId="0" applyNumberFormat="1" applyFont="1" applyFill="1" applyBorder="1"/>
    <xf numFmtId="6" fontId="0" fillId="2" borderId="27" xfId="0" applyNumberFormat="1" applyFont="1" applyFill="1" applyBorder="1"/>
    <xf numFmtId="6" fontId="54" fillId="2" borderId="71" xfId="0" applyNumberFormat="1" applyFont="1" applyFill="1" applyBorder="1" applyAlignment="1">
      <alignment horizontal="center" vertical="center"/>
    </xf>
    <xf numFmtId="6" fontId="54" fillId="2" borderId="62" xfId="0" applyNumberFormat="1" applyFont="1" applyFill="1" applyBorder="1" applyAlignment="1">
      <alignment horizontal="center" vertical="center"/>
    </xf>
    <xf numFmtId="0" fontId="55" fillId="2" borderId="62" xfId="0" applyFont="1" applyFill="1" applyBorder="1" applyAlignment="1">
      <alignment horizontal="right" vertical="center"/>
    </xf>
    <xf numFmtId="6" fontId="54" fillId="2" borderId="72" xfId="0" applyNumberFormat="1" applyFont="1" applyFill="1" applyBorder="1" applyAlignment="1">
      <alignment horizontal="center" vertical="center"/>
    </xf>
    <xf numFmtId="0" fontId="51" fillId="2" borderId="7" xfId="0" applyFont="1" applyFill="1" applyBorder="1" applyAlignment="1">
      <alignment horizontal="center" vertical="center"/>
    </xf>
    <xf numFmtId="0" fontId="51" fillId="2" borderId="8" xfId="0" applyFont="1" applyFill="1" applyBorder="1" applyAlignment="1">
      <alignment horizontal="center" vertical="center"/>
    </xf>
    <xf numFmtId="0" fontId="51" fillId="2" borderId="9" xfId="0" applyFont="1" applyFill="1" applyBorder="1" applyAlignment="1">
      <alignment horizontal="center" vertical="center"/>
    </xf>
    <xf numFmtId="0" fontId="4" fillId="0" borderId="47" xfId="0" applyFont="1" applyBorder="1" applyAlignment="1">
      <alignment horizontal="right" vertical="center"/>
    </xf>
    <xf numFmtId="0" fontId="56" fillId="2" borderId="62" xfId="0" applyFont="1" applyFill="1" applyBorder="1" applyAlignment="1">
      <alignment horizontal="right" vertical="center"/>
    </xf>
    <xf numFmtId="0" fontId="55" fillId="2" borderId="61" xfId="0" applyFont="1" applyFill="1" applyBorder="1" applyAlignment="1">
      <alignment horizontal="center" vertical="center"/>
    </xf>
    <xf numFmtId="0" fontId="55" fillId="2" borderId="63" xfId="0" applyFont="1" applyFill="1" applyBorder="1" applyAlignment="1">
      <alignment horizontal="center" vertical="center"/>
    </xf>
    <xf numFmtId="0" fontId="55" fillId="2" borderId="73" xfId="0" applyFont="1" applyFill="1" applyBorder="1" applyAlignment="1">
      <alignment horizontal="center" vertical="center"/>
    </xf>
    <xf numFmtId="0" fontId="55" fillId="2" borderId="74" xfId="0" applyFont="1" applyFill="1" applyBorder="1" applyAlignment="1">
      <alignment horizontal="center" vertical="center"/>
    </xf>
    <xf numFmtId="0" fontId="18" fillId="2" borderId="0" xfId="0" applyFont="1" applyFill="1" applyBorder="1" applyAlignment="1">
      <alignment wrapText="1"/>
    </xf>
    <xf numFmtId="0" fontId="40" fillId="0" borderId="47" xfId="0" applyFont="1" applyBorder="1" applyAlignment="1">
      <alignment horizontal="center" vertical="center"/>
    </xf>
    <xf numFmtId="0" fontId="18" fillId="2" borderId="26" xfId="0" applyFont="1" applyFill="1" applyBorder="1" applyAlignment="1">
      <alignment horizontal="right" vertical="center"/>
    </xf>
    <xf numFmtId="0" fontId="51" fillId="2" borderId="28" xfId="0" applyFont="1" applyFill="1" applyBorder="1" applyAlignment="1">
      <alignment horizontal="center" vertical="center" wrapText="1"/>
    </xf>
    <xf numFmtId="0" fontId="51" fillId="2" borderId="0" xfId="0" applyFont="1" applyFill="1" applyBorder="1" applyAlignment="1">
      <alignment horizontal="center" vertical="center" wrapText="1"/>
    </xf>
    <xf numFmtId="0" fontId="57" fillId="2" borderId="26" xfId="0" applyFont="1" applyFill="1" applyBorder="1" applyAlignment="1">
      <alignment horizontal="left" indent="1"/>
    </xf>
    <xf numFmtId="0" fontId="0" fillId="12" borderId="0" xfId="0" applyFill="1" applyBorder="1" applyAlignment="1">
      <alignment horizontal="right"/>
    </xf>
    <xf numFmtId="164" fontId="9" fillId="2" borderId="0" xfId="0" applyNumberFormat="1" applyFont="1" applyFill="1" applyBorder="1" applyAlignment="1">
      <alignment horizontal="center"/>
    </xf>
    <xf numFmtId="168" fontId="9" fillId="2" borderId="0" xfId="2" applyNumberFormat="1" applyFont="1" applyFill="1" applyBorder="1" applyAlignment="1">
      <alignment horizontal="center"/>
    </xf>
    <xf numFmtId="0" fontId="9" fillId="2" borderId="29" xfId="0" applyFont="1" applyFill="1" applyBorder="1" applyAlignment="1">
      <alignment horizontal="right"/>
    </xf>
    <xf numFmtId="168" fontId="0" fillId="2" borderId="31" xfId="2" applyNumberFormat="1" applyFont="1" applyFill="1" applyBorder="1"/>
    <xf numFmtId="0" fontId="0" fillId="2" borderId="32" xfId="0" applyFill="1" applyBorder="1" applyAlignment="1">
      <alignment horizontal="right"/>
    </xf>
    <xf numFmtId="6" fontId="65" fillId="7" borderId="24" xfId="3" applyNumberFormat="1" applyFont="1" applyFill="1" applyBorder="1" applyAlignment="1" applyProtection="1">
      <alignment horizontal="center" vertical="center"/>
      <protection locked="0"/>
    </xf>
    <xf numFmtId="169" fontId="4" fillId="7" borderId="24" xfId="2" applyNumberFormat="1" applyFont="1" applyFill="1" applyBorder="1" applyAlignment="1" applyProtection="1">
      <alignment horizontal="center" vertical="center"/>
      <protection locked="0"/>
    </xf>
    <xf numFmtId="0" fontId="4" fillId="7" borderId="24" xfId="2" applyNumberFormat="1" applyFont="1" applyFill="1" applyBorder="1" applyAlignment="1" applyProtection="1">
      <alignment horizontal="center" vertical="center"/>
      <protection locked="0"/>
    </xf>
    <xf numFmtId="0" fontId="0" fillId="2" borderId="81" xfId="0" applyFill="1" applyBorder="1" applyAlignment="1">
      <alignment horizontal="center" vertical="center"/>
    </xf>
    <xf numFmtId="0" fontId="0" fillId="2" borderId="81" xfId="0" applyFill="1" applyBorder="1" applyAlignment="1">
      <alignment horizontal="left" wrapText="1" readingOrder="1"/>
    </xf>
    <xf numFmtId="0" fontId="63" fillId="7" borderId="24" xfId="3" applyNumberFormat="1" applyFont="1" applyFill="1" applyBorder="1" applyAlignment="1" applyProtection="1">
      <alignment horizontal="center" vertical="center"/>
      <protection locked="0"/>
    </xf>
    <xf numFmtId="14" fontId="5" fillId="7" borderId="24" xfId="2" applyNumberFormat="1" applyFont="1" applyFill="1" applyBorder="1" applyAlignment="1" applyProtection="1">
      <protection locked="0"/>
    </xf>
    <xf numFmtId="172" fontId="5" fillId="2" borderId="57" xfId="2" applyNumberFormat="1" applyFont="1" applyFill="1" applyBorder="1" applyAlignment="1" applyProtection="1">
      <alignment horizontal="center"/>
      <protection locked="0"/>
    </xf>
    <xf numFmtId="0" fontId="0" fillId="2" borderId="40" xfId="0" applyFill="1" applyBorder="1"/>
    <xf numFmtId="0" fontId="0" fillId="2" borderId="42" xfId="0" applyFill="1" applyBorder="1"/>
    <xf numFmtId="0" fontId="9" fillId="2" borderId="0" xfId="0" applyNumberFormat="1" applyFont="1" applyFill="1" applyBorder="1" applyAlignment="1">
      <alignment horizontal="left"/>
    </xf>
    <xf numFmtId="168" fontId="4" fillId="7" borderId="24" xfId="2" applyNumberFormat="1" applyFont="1" applyFill="1" applyBorder="1" applyAlignment="1" applyProtection="1">
      <alignment horizontal="center" vertical="center"/>
      <protection locked="0"/>
    </xf>
    <xf numFmtId="14" fontId="4" fillId="7" borderId="24" xfId="2" applyNumberFormat="1" applyFont="1" applyFill="1" applyBorder="1" applyAlignment="1" applyProtection="1">
      <alignment horizontal="center" vertical="center"/>
      <protection locked="0"/>
    </xf>
    <xf numFmtId="8" fontId="65" fillId="7" borderId="24" xfId="3" applyNumberFormat="1" applyFont="1" applyFill="1" applyBorder="1" applyAlignment="1" applyProtection="1">
      <alignment horizontal="center" vertical="center"/>
      <protection locked="0"/>
    </xf>
    <xf numFmtId="0" fontId="0" fillId="12" borderId="0" xfId="0" applyFont="1" applyFill="1" applyBorder="1"/>
    <xf numFmtId="6" fontId="74" fillId="4" borderId="24" xfId="3" applyNumberFormat="1" applyFont="1" applyFill="1" applyBorder="1" applyAlignment="1" applyProtection="1">
      <alignment horizontal="center"/>
    </xf>
    <xf numFmtId="6" fontId="51" fillId="3" borderId="24" xfId="3" applyNumberFormat="1" applyFont="1" applyFill="1" applyBorder="1" applyAlignment="1" applyProtection="1">
      <alignment horizontal="center"/>
    </xf>
    <xf numFmtId="0" fontId="35" fillId="2" borderId="3" xfId="0" applyFont="1" applyFill="1" applyBorder="1"/>
    <xf numFmtId="0" fontId="35" fillId="2" borderId="4" xfId="0" applyFont="1" applyFill="1" applyBorder="1"/>
    <xf numFmtId="0" fontId="35" fillId="2" borderId="5" xfId="0" applyFont="1" applyFill="1" applyBorder="1"/>
    <xf numFmtId="0" fontId="35" fillId="2" borderId="0" xfId="0" applyFont="1" applyFill="1" applyBorder="1"/>
    <xf numFmtId="0" fontId="35" fillId="2" borderId="6" xfId="0" applyFont="1" applyFill="1" applyBorder="1"/>
    <xf numFmtId="0" fontId="35" fillId="2" borderId="5" xfId="0" applyFont="1" applyFill="1" applyBorder="1" applyAlignment="1">
      <alignment horizontal="left" indent="1"/>
    </xf>
    <xf numFmtId="168" fontId="35" fillId="2" borderId="0" xfId="2" applyNumberFormat="1" applyFont="1" applyFill="1" applyBorder="1"/>
    <xf numFmtId="0" fontId="35" fillId="2" borderId="7" xfId="0" applyFont="1" applyFill="1" applyBorder="1"/>
    <xf numFmtId="0" fontId="35" fillId="2" borderId="8" xfId="0" applyFont="1" applyFill="1" applyBorder="1"/>
    <xf numFmtId="0" fontId="35" fillId="2" borderId="9" xfId="0" applyFont="1" applyFill="1" applyBorder="1"/>
    <xf numFmtId="0" fontId="35" fillId="12" borderId="0" xfId="0" applyFont="1" applyFill="1" applyBorder="1" applyAlignment="1">
      <alignment horizontal="center" wrapText="1"/>
    </xf>
    <xf numFmtId="0" fontId="35" fillId="12" borderId="8" xfId="0" applyFont="1" applyFill="1" applyBorder="1" applyAlignment="1">
      <alignment horizontal="center" wrapText="1"/>
    </xf>
    <xf numFmtId="0" fontId="0" fillId="12" borderId="2" xfId="0" applyFill="1" applyBorder="1"/>
    <xf numFmtId="0" fontId="35" fillId="12" borderId="0" xfId="0" applyFont="1" applyFill="1" applyBorder="1"/>
    <xf numFmtId="0" fontId="4" fillId="2" borderId="5" xfId="0" applyFont="1" applyFill="1" applyBorder="1" applyAlignment="1">
      <alignment horizontal="left" indent="2"/>
    </xf>
    <xf numFmtId="0" fontId="4" fillId="2" borderId="2" xfId="0" applyFont="1" applyFill="1" applyBorder="1" applyAlignment="1">
      <alignment horizontal="left" indent="1"/>
    </xf>
    <xf numFmtId="6" fontId="83" fillId="2" borderId="0" xfId="0" applyNumberFormat="1" applyFont="1" applyFill="1" applyBorder="1"/>
    <xf numFmtId="169" fontId="83" fillId="2" borderId="0" xfId="2" applyNumberFormat="1" applyFont="1" applyFill="1" applyBorder="1"/>
    <xf numFmtId="0" fontId="83" fillId="2" borderId="0" xfId="0" applyFont="1" applyFill="1" applyBorder="1"/>
    <xf numFmtId="14" fontId="83" fillId="2" borderId="0" xfId="0" applyNumberFormat="1" applyFont="1" applyFill="1" applyBorder="1"/>
    <xf numFmtId="10" fontId="63" fillId="7" borderId="56" xfId="2" applyNumberFormat="1" applyFont="1" applyFill="1" applyBorder="1" applyAlignment="1" applyProtection="1">
      <alignment horizontal="center" vertical="center"/>
      <protection locked="0"/>
    </xf>
    <xf numFmtId="10" fontId="63" fillId="7" borderId="24" xfId="2" applyNumberFormat="1" applyFont="1" applyFill="1" applyBorder="1" applyAlignment="1" applyProtection="1">
      <alignment horizontal="center" vertical="center"/>
      <protection locked="0"/>
    </xf>
    <xf numFmtId="0" fontId="39" fillId="2" borderId="2" xfId="0" applyFont="1" applyFill="1" applyBorder="1"/>
    <xf numFmtId="0" fontId="39" fillId="2" borderId="3" xfId="0" applyFont="1" applyFill="1" applyBorder="1"/>
    <xf numFmtId="0" fontId="39" fillId="2" borderId="5" xfId="0" applyFont="1" applyFill="1" applyBorder="1"/>
    <xf numFmtId="0" fontId="39" fillId="2" borderId="92" xfId="0" applyFont="1" applyFill="1" applyBorder="1"/>
    <xf numFmtId="0" fontId="0" fillId="0" borderId="9" xfId="0" applyBorder="1"/>
    <xf numFmtId="0" fontId="62" fillId="12" borderId="28" xfId="2" applyNumberFormat="1" applyFont="1" applyFill="1" applyBorder="1" applyAlignment="1" applyProtection="1">
      <alignment horizontal="right" vertical="center"/>
    </xf>
    <xf numFmtId="0" fontId="35" fillId="2" borderId="2" xfId="0" applyFont="1" applyFill="1" applyBorder="1" applyAlignment="1">
      <alignment horizontal="center" wrapText="1"/>
    </xf>
    <xf numFmtId="0" fontId="35" fillId="2" borderId="4" xfId="0" applyFont="1" applyFill="1" applyBorder="1" applyAlignment="1">
      <alignment horizontal="center" wrapText="1"/>
    </xf>
    <xf numFmtId="172" fontId="35" fillId="2" borderId="7" xfId="0" applyNumberFormat="1" applyFont="1" applyFill="1" applyBorder="1" applyAlignment="1">
      <alignment horizontal="center" wrapText="1"/>
    </xf>
    <xf numFmtId="0" fontId="35" fillId="2" borderId="9" xfId="0" applyFont="1" applyFill="1" applyBorder="1" applyAlignment="1">
      <alignment horizontal="center" wrapText="1"/>
    </xf>
    <xf numFmtId="6" fontId="10" fillId="4" borderId="0" xfId="0" applyNumberFormat="1" applyFont="1" applyFill="1" applyBorder="1"/>
    <xf numFmtId="0" fontId="0" fillId="4" borderId="0" xfId="0" applyFill="1"/>
    <xf numFmtId="6" fontId="0" fillId="4" borderId="0" xfId="0" applyNumberFormat="1" applyFill="1"/>
    <xf numFmtId="6" fontId="10" fillId="4" borderId="0" xfId="0" applyNumberFormat="1" applyFont="1" applyFill="1"/>
    <xf numFmtId="6" fontId="0" fillId="4" borderId="31" xfId="0" applyNumberFormat="1" applyFill="1" applyBorder="1"/>
    <xf numFmtId="1" fontId="10" fillId="4" borderId="0" xfId="0" applyNumberFormat="1" applyFont="1" applyFill="1" applyAlignment="1">
      <alignment horizontal="center"/>
    </xf>
    <xf numFmtId="168" fontId="0" fillId="4" borderId="0" xfId="2" applyNumberFormat="1" applyFont="1" applyFill="1"/>
    <xf numFmtId="168" fontId="0" fillId="4" borderId="0" xfId="0" applyNumberFormat="1" applyFill="1"/>
    <xf numFmtId="0" fontId="0" fillId="16" borderId="2" xfId="0" applyFill="1" applyBorder="1"/>
    <xf numFmtId="0" fontId="0" fillId="16" borderId="3" xfId="0" applyFill="1" applyBorder="1"/>
    <xf numFmtId="0" fontId="0" fillId="16" borderId="4" xfId="0" applyFill="1" applyBorder="1"/>
    <xf numFmtId="0" fontId="0" fillId="16" borderId="5" xfId="0" applyFill="1" applyBorder="1"/>
    <xf numFmtId="0" fontId="0" fillId="16" borderId="0" xfId="0" applyFill="1" applyBorder="1"/>
    <xf numFmtId="0" fontId="0" fillId="16" borderId="6" xfId="0" applyFill="1" applyBorder="1"/>
    <xf numFmtId="0" fontId="0" fillId="16" borderId="7" xfId="0" applyFill="1" applyBorder="1"/>
    <xf numFmtId="0" fontId="0" fillId="16" borderId="8" xfId="0" applyFill="1" applyBorder="1"/>
    <xf numFmtId="0" fontId="0" fillId="16" borderId="9" xfId="0" applyFill="1" applyBorder="1"/>
    <xf numFmtId="165" fontId="0" fillId="4" borderId="0" xfId="0" applyNumberFormat="1" applyFill="1"/>
    <xf numFmtId="0" fontId="37" fillId="17" borderId="0" xfId="0" applyFont="1" applyFill="1" applyBorder="1"/>
    <xf numFmtId="8" fontId="37" fillId="17" borderId="0" xfId="0" applyNumberFormat="1" applyFont="1" applyFill="1" applyBorder="1"/>
    <xf numFmtId="164" fontId="0" fillId="17" borderId="0" xfId="1" applyNumberFormat="1" applyFont="1" applyFill="1" applyBorder="1"/>
    <xf numFmtId="164" fontId="9" fillId="17" borderId="0" xfId="0" applyNumberFormat="1" applyFont="1" applyFill="1" applyBorder="1"/>
    <xf numFmtId="6" fontId="0" fillId="4" borderId="64" xfId="0" applyNumberFormat="1" applyFill="1" applyBorder="1"/>
    <xf numFmtId="0" fontId="0" fillId="4" borderId="54" xfId="0" applyFill="1" applyBorder="1"/>
    <xf numFmtId="6" fontId="0" fillId="4" borderId="54" xfId="0" applyNumberFormat="1" applyFill="1" applyBorder="1"/>
    <xf numFmtId="6" fontId="0" fillId="4" borderId="57" xfId="0" applyNumberFormat="1" applyFill="1" applyBorder="1"/>
    <xf numFmtId="0" fontId="0" fillId="4" borderId="40" xfId="0" applyFill="1" applyBorder="1"/>
    <xf numFmtId="0" fontId="0" fillId="4" borderId="41" xfId="0" applyFill="1" applyBorder="1"/>
    <xf numFmtId="6" fontId="0" fillId="4" borderId="41" xfId="0" applyNumberFormat="1" applyFill="1" applyBorder="1"/>
    <xf numFmtId="0" fontId="0" fillId="4" borderId="42" xfId="0" applyFill="1" applyBorder="1"/>
    <xf numFmtId="10" fontId="0" fillId="4" borderId="0" xfId="0" applyNumberFormat="1" applyFill="1"/>
    <xf numFmtId="164" fontId="9" fillId="17" borderId="0" xfId="1" applyNumberFormat="1" applyFont="1" applyFill="1" applyBorder="1"/>
    <xf numFmtId="0" fontId="5" fillId="12" borderId="0" xfId="0" applyFont="1" applyFill="1"/>
    <xf numFmtId="168" fontId="5" fillId="12" borderId="0" xfId="2" applyNumberFormat="1" applyFont="1" applyFill="1" applyBorder="1"/>
    <xf numFmtId="0" fontId="5" fillId="12" borderId="2" xfId="0" applyFont="1" applyFill="1" applyBorder="1"/>
    <xf numFmtId="6" fontId="5" fillId="12" borderId="3" xfId="0" applyNumberFormat="1" applyFont="1" applyFill="1" applyBorder="1"/>
    <xf numFmtId="168" fontId="5" fillId="12" borderId="4" xfId="2" applyNumberFormat="1" applyFont="1" applyFill="1" applyBorder="1" applyAlignment="1">
      <alignment horizontal="center"/>
    </xf>
    <xf numFmtId="6" fontId="5" fillId="12" borderId="82" xfId="0" applyNumberFormat="1" applyFont="1" applyFill="1" applyBorder="1"/>
    <xf numFmtId="0" fontId="5" fillId="12" borderId="5" xfId="0" applyFont="1" applyFill="1" applyBorder="1"/>
    <xf numFmtId="6" fontId="50" fillId="12" borderId="0" xfId="0" applyNumberFormat="1" applyFont="1" applyFill="1" applyBorder="1"/>
    <xf numFmtId="168" fontId="50" fillId="12" borderId="6" xfId="2" applyNumberFormat="1" applyFont="1" applyFill="1" applyBorder="1" applyAlignment="1">
      <alignment horizontal="center"/>
    </xf>
    <xf numFmtId="6" fontId="50" fillId="12" borderId="84" xfId="0" applyNumberFormat="1" applyFont="1" applyFill="1" applyBorder="1"/>
    <xf numFmtId="0" fontId="5" fillId="12" borderId="7" xfId="0" applyFont="1" applyFill="1" applyBorder="1"/>
    <xf numFmtId="168" fontId="5" fillId="12" borderId="9" xfId="2" applyNumberFormat="1" applyFont="1" applyFill="1" applyBorder="1" applyAlignment="1">
      <alignment horizontal="center"/>
    </xf>
    <xf numFmtId="6" fontId="5" fillId="12" borderId="83" xfId="0" applyNumberFormat="1" applyFont="1" applyFill="1" applyBorder="1"/>
    <xf numFmtId="168" fontId="6" fillId="12" borderId="4" xfId="2" applyNumberFormat="1" applyFont="1" applyFill="1" applyBorder="1" applyAlignment="1">
      <alignment horizontal="center"/>
    </xf>
    <xf numFmtId="6" fontId="50" fillId="12" borderId="82" xfId="0" applyNumberFormat="1" applyFont="1" applyFill="1" applyBorder="1" applyAlignment="1">
      <alignment horizontal="right"/>
    </xf>
    <xf numFmtId="168" fontId="5" fillId="12" borderId="6" xfId="2" applyNumberFormat="1" applyFont="1" applyFill="1" applyBorder="1" applyAlignment="1">
      <alignment horizontal="center"/>
    </xf>
    <xf numFmtId="6" fontId="5" fillId="12" borderId="84" xfId="0" applyNumberFormat="1" applyFont="1" applyFill="1" applyBorder="1"/>
    <xf numFmtId="168" fontId="35" fillId="2" borderId="8" xfId="2" applyNumberFormat="1" applyFont="1" applyFill="1" applyBorder="1"/>
    <xf numFmtId="0" fontId="31" fillId="12" borderId="0" xfId="0" applyFont="1" applyFill="1"/>
    <xf numFmtId="168" fontId="5" fillId="12" borderId="8" xfId="2" applyNumberFormat="1" applyFont="1" applyFill="1" applyBorder="1"/>
    <xf numFmtId="6" fontId="35" fillId="2" borderId="0" xfId="0" applyNumberFormat="1" applyFont="1" applyFill="1" applyBorder="1" applyAlignment="1">
      <alignment horizontal="center"/>
    </xf>
    <xf numFmtId="0" fontId="4" fillId="2" borderId="0" xfId="0" applyFont="1" applyFill="1" applyBorder="1" applyAlignment="1">
      <alignment horizontal="center"/>
    </xf>
    <xf numFmtId="0" fontId="10" fillId="12" borderId="0" xfId="0" applyFont="1" applyFill="1" applyBorder="1" applyAlignment="1">
      <alignment horizontal="right" wrapText="1"/>
    </xf>
    <xf numFmtId="9" fontId="0" fillId="12" borderId="0" xfId="2" applyFont="1" applyFill="1" applyBorder="1"/>
    <xf numFmtId="0" fontId="10" fillId="12" borderId="0" xfId="0" applyFont="1" applyFill="1" applyBorder="1" applyAlignment="1">
      <alignment horizontal="right" vertical="top"/>
    </xf>
    <xf numFmtId="0" fontId="10" fillId="12" borderId="0" xfId="0" applyFont="1" applyFill="1" applyBorder="1" applyAlignment="1">
      <alignment horizontal="right" vertical="top" wrapText="1"/>
    </xf>
    <xf numFmtId="8" fontId="0" fillId="12" borderId="0" xfId="0" applyNumberFormat="1" applyFill="1" applyBorder="1"/>
    <xf numFmtId="169" fontId="10" fillId="12" borderId="0" xfId="0" applyNumberFormat="1" applyFont="1" applyFill="1" applyBorder="1"/>
    <xf numFmtId="0" fontId="0" fillId="12" borderId="0" xfId="0" applyFill="1" applyBorder="1" applyAlignment="1">
      <alignment horizontal="right" indent="1"/>
    </xf>
    <xf numFmtId="0" fontId="0" fillId="12" borderId="3" xfId="0" applyFill="1" applyBorder="1" applyAlignment="1">
      <alignment horizontal="right" indent="1"/>
    </xf>
    <xf numFmtId="0" fontId="0" fillId="12" borderId="8" xfId="0" applyFill="1" applyBorder="1" applyAlignment="1">
      <alignment horizontal="right" indent="1"/>
    </xf>
    <xf numFmtId="0" fontId="39" fillId="12" borderId="3" xfId="0" applyFont="1" applyFill="1" applyBorder="1"/>
    <xf numFmtId="0" fontId="39" fillId="12" borderId="0" xfId="0" applyFont="1" applyFill="1" applyBorder="1"/>
    <xf numFmtId="164" fontId="0" fillId="12" borderId="0" xfId="0" applyNumberFormat="1" applyFill="1" applyBorder="1" applyAlignment="1">
      <alignment horizontal="center"/>
    </xf>
    <xf numFmtId="8" fontId="0" fillId="12" borderId="4" xfId="0" applyNumberFormat="1" applyFill="1" applyBorder="1" applyAlignment="1">
      <alignment horizontal="center"/>
    </xf>
    <xf numFmtId="8" fontId="0" fillId="12" borderId="9" xfId="0" applyNumberFormat="1" applyFill="1" applyBorder="1" applyAlignment="1">
      <alignment horizontal="center"/>
    </xf>
    <xf numFmtId="0" fontId="0" fillId="12" borderId="5" xfId="0" applyFont="1" applyFill="1" applyBorder="1"/>
    <xf numFmtId="0" fontId="10" fillId="12" borderId="0" xfId="0" applyFont="1" applyFill="1" applyBorder="1" applyAlignment="1">
      <alignment horizontal="right"/>
    </xf>
    <xf numFmtId="0" fontId="0" fillId="12" borderId="6" xfId="0" applyFont="1" applyFill="1" applyBorder="1"/>
    <xf numFmtId="0" fontId="0" fillId="0" borderId="0" xfId="0" applyFont="1"/>
    <xf numFmtId="6" fontId="0" fillId="12" borderId="0" xfId="0" applyNumberFormat="1" applyFont="1" applyFill="1" applyBorder="1"/>
    <xf numFmtId="169" fontId="0" fillId="12" borderId="0" xfId="0" applyNumberFormat="1" applyFont="1" applyFill="1" applyBorder="1"/>
    <xf numFmtId="8" fontId="0" fillId="12" borderId="0" xfId="0" applyNumberFormat="1" applyFont="1" applyFill="1" applyBorder="1"/>
    <xf numFmtId="1" fontId="0" fillId="12" borderId="0" xfId="0" applyNumberFormat="1" applyFont="1" applyFill="1" applyBorder="1"/>
    <xf numFmtId="0" fontId="0" fillId="12" borderId="7" xfId="0" applyFont="1" applyFill="1" applyBorder="1"/>
    <xf numFmtId="0" fontId="0" fillId="12" borderId="8" xfId="0" applyFont="1" applyFill="1" applyBorder="1"/>
    <xf numFmtId="8" fontId="0" fillId="12" borderId="8" xfId="0" applyNumberFormat="1" applyFont="1" applyFill="1" applyBorder="1"/>
    <xf numFmtId="0" fontId="0" fillId="12" borderId="9" xfId="0" applyFont="1" applyFill="1" applyBorder="1"/>
    <xf numFmtId="0" fontId="18" fillId="4" borderId="0" xfId="0" applyFont="1" applyFill="1" applyBorder="1" applyAlignment="1">
      <alignment horizontal="center"/>
    </xf>
    <xf numFmtId="0" fontId="31" fillId="12" borderId="7" xfId="0" applyFont="1" applyFill="1" applyBorder="1"/>
    <xf numFmtId="0" fontId="0" fillId="3" borderId="0" xfId="0" applyFill="1" applyBorder="1" applyAlignment="1">
      <alignment horizontal="center" wrapText="1"/>
    </xf>
    <xf numFmtId="0" fontId="34" fillId="2" borderId="0" xfId="4" applyFont="1" applyFill="1" applyBorder="1" applyAlignment="1">
      <alignment horizontal="center"/>
    </xf>
    <xf numFmtId="0" fontId="18" fillId="2" borderId="0" xfId="0" applyFont="1" applyFill="1" applyBorder="1" applyAlignment="1">
      <alignment horizontal="center" wrapText="1"/>
    </xf>
    <xf numFmtId="0" fontId="0" fillId="0" borderId="0" xfId="0" applyFont="1" applyFill="1" applyBorder="1" applyAlignment="1">
      <alignment horizontal="center" vertical="center" wrapText="1"/>
    </xf>
    <xf numFmtId="0" fontId="0" fillId="0" borderId="80" xfId="0" applyFill="1" applyBorder="1" applyAlignment="1">
      <alignment vertical="center" wrapText="1"/>
    </xf>
    <xf numFmtId="0" fontId="0" fillId="12" borderId="0" xfId="0" applyFont="1" applyFill="1" applyBorder="1" applyAlignment="1">
      <alignment wrapText="1"/>
    </xf>
    <xf numFmtId="0" fontId="0" fillId="12" borderId="8" xfId="0" applyFont="1" applyFill="1" applyBorder="1" applyAlignment="1">
      <alignment wrapText="1"/>
    </xf>
    <xf numFmtId="9" fontId="0" fillId="10" borderId="0" xfId="2" applyFont="1" applyFill="1" applyBorder="1"/>
    <xf numFmtId="168" fontId="0" fillId="10" borderId="0" xfId="2" applyNumberFormat="1" applyFont="1" applyFill="1" applyBorder="1"/>
    <xf numFmtId="0" fontId="5" fillId="2" borderId="49" xfId="0" applyFont="1" applyFill="1" applyBorder="1" applyProtection="1">
      <protection locked="0"/>
    </xf>
    <xf numFmtId="0" fontId="5" fillId="2" borderId="50" xfId="0" applyFont="1" applyFill="1" applyBorder="1" applyProtection="1">
      <protection locked="0"/>
    </xf>
    <xf numFmtId="0" fontId="5" fillId="2" borderId="75" xfId="0" applyFont="1" applyFill="1" applyBorder="1" applyProtection="1">
      <protection locked="0"/>
    </xf>
    <xf numFmtId="0" fontId="5" fillId="2" borderId="51" xfId="0" applyFont="1" applyFill="1" applyBorder="1" applyProtection="1">
      <protection locked="0"/>
    </xf>
    <xf numFmtId="0" fontId="5" fillId="2" borderId="48" xfId="0" applyFont="1" applyFill="1" applyBorder="1" applyProtection="1">
      <protection locked="0"/>
    </xf>
    <xf numFmtId="0" fontId="5" fillId="2" borderId="76" xfId="0" applyFont="1" applyFill="1" applyBorder="1" applyProtection="1">
      <protection locked="0"/>
    </xf>
    <xf numFmtId="6" fontId="5" fillId="2" borderId="48" xfId="0" applyNumberFormat="1" applyFont="1" applyFill="1" applyBorder="1" applyProtection="1">
      <protection locked="0"/>
    </xf>
    <xf numFmtId="6" fontId="5" fillId="2" borderId="76" xfId="0" applyNumberFormat="1" applyFont="1" applyFill="1" applyBorder="1" applyProtection="1">
      <protection locked="0"/>
    </xf>
    <xf numFmtId="10" fontId="5" fillId="2" borderId="48" xfId="0" applyNumberFormat="1" applyFont="1" applyFill="1" applyBorder="1" applyProtection="1">
      <protection locked="0"/>
    </xf>
    <xf numFmtId="10" fontId="5" fillId="2" borderId="76" xfId="0" applyNumberFormat="1" applyFont="1" applyFill="1" applyBorder="1" applyProtection="1">
      <protection locked="0"/>
    </xf>
    <xf numFmtId="0" fontId="5" fillId="2" borderId="52" xfId="0" applyFont="1" applyFill="1" applyBorder="1" applyProtection="1">
      <protection locked="0"/>
    </xf>
    <xf numFmtId="6" fontId="5" fillId="2" borderId="53" xfId="0" applyNumberFormat="1" applyFont="1" applyFill="1" applyBorder="1" applyProtection="1">
      <protection locked="0"/>
    </xf>
    <xf numFmtId="6" fontId="5" fillId="2" borderId="77" xfId="0" applyNumberFormat="1" applyFont="1" applyFill="1" applyBorder="1" applyProtection="1">
      <protection locked="0"/>
    </xf>
    <xf numFmtId="0" fontId="0" fillId="12" borderId="3" xfId="0" applyFill="1" applyBorder="1" applyProtection="1"/>
    <xf numFmtId="0" fontId="0" fillId="0" borderId="0" xfId="0" applyProtection="1"/>
    <xf numFmtId="0" fontId="0" fillId="12" borderId="5" xfId="0" applyFill="1" applyBorder="1" applyProtection="1"/>
    <xf numFmtId="0" fontId="2" fillId="12" borderId="0" xfId="0" applyFont="1" applyFill="1" applyBorder="1" applyProtection="1"/>
    <xf numFmtId="0" fontId="0" fillId="12" borderId="6" xfId="0" applyFill="1" applyBorder="1" applyProtection="1"/>
    <xf numFmtId="0" fontId="0" fillId="12" borderId="0" xfId="0" applyFill="1" applyBorder="1" applyProtection="1"/>
    <xf numFmtId="0" fontId="5" fillId="12" borderId="0" xfId="0" applyFont="1" applyFill="1" applyBorder="1" applyProtection="1"/>
    <xf numFmtId="6" fontId="5" fillId="12" borderId="0" xfId="0" applyNumberFormat="1" applyFont="1" applyFill="1" applyBorder="1" applyProtection="1"/>
    <xf numFmtId="0" fontId="0" fillId="12" borderId="7" xfId="0" applyFill="1" applyBorder="1" applyProtection="1"/>
    <xf numFmtId="0" fontId="0" fillId="12" borderId="8" xfId="0" applyFill="1" applyBorder="1" applyProtection="1"/>
    <xf numFmtId="0" fontId="0" fillId="12" borderId="9" xfId="0" applyFill="1" applyBorder="1" applyProtection="1"/>
    <xf numFmtId="6" fontId="59" fillId="12" borderId="0" xfId="0" applyNumberFormat="1" applyFont="1" applyFill="1" applyBorder="1" applyProtection="1"/>
    <xf numFmtId="0" fontId="2" fillId="2" borderId="2" xfId="0" applyFont="1" applyFill="1" applyBorder="1" applyAlignment="1" applyProtection="1">
      <alignment horizontal="left" indent="1"/>
    </xf>
    <xf numFmtId="0" fontId="0" fillId="2" borderId="3" xfId="0" applyFill="1" applyBorder="1" applyProtection="1"/>
    <xf numFmtId="0" fontId="2" fillId="2" borderId="3" xfId="0" applyFont="1" applyFill="1" applyBorder="1" applyProtection="1"/>
    <xf numFmtId="0" fontId="0" fillId="2" borderId="4" xfId="0" applyFill="1" applyBorder="1" applyProtection="1"/>
    <xf numFmtId="0" fontId="43" fillId="2" borderId="2" xfId="0" applyFont="1" applyFill="1" applyBorder="1" applyProtection="1"/>
    <xf numFmtId="0" fontId="43" fillId="11" borderId="47" xfId="0" applyFont="1" applyFill="1" applyBorder="1" applyAlignment="1" applyProtection="1">
      <alignment horizontal="center"/>
    </xf>
    <xf numFmtId="0" fontId="43" fillId="11" borderId="59" xfId="0" applyFont="1" applyFill="1" applyBorder="1" applyAlignment="1" applyProtection="1">
      <alignment horizontal="center"/>
    </xf>
    <xf numFmtId="0" fontId="2" fillId="2" borderId="7" xfId="0" applyFont="1" applyFill="1" applyBorder="1" applyAlignment="1" applyProtection="1">
      <alignment horizontal="left" indent="1"/>
    </xf>
    <xf numFmtId="0" fontId="2" fillId="2" borderId="8" xfId="0" applyFont="1" applyFill="1" applyBorder="1" applyProtection="1"/>
    <xf numFmtId="0" fontId="0" fillId="2" borderId="9" xfId="0" applyFill="1" applyBorder="1" applyProtection="1"/>
    <xf numFmtId="0" fontId="43" fillId="2" borderId="5" xfId="0" applyFont="1" applyFill="1" applyBorder="1" applyProtection="1"/>
    <xf numFmtId="0" fontId="43" fillId="3" borderId="24" xfId="0" applyFont="1" applyFill="1" applyBorder="1" applyAlignment="1" applyProtection="1">
      <alignment horizontal="center"/>
    </xf>
    <xf numFmtId="0" fontId="43" fillId="3" borderId="55" xfId="0" applyFont="1" applyFill="1" applyBorder="1" applyAlignment="1" applyProtection="1">
      <alignment horizontal="center"/>
    </xf>
    <xf numFmtId="0" fontId="2" fillId="12" borderId="5" xfId="0" applyFont="1" applyFill="1" applyBorder="1" applyAlignment="1" applyProtection="1">
      <alignment horizontal="left" indent="1"/>
    </xf>
    <xf numFmtId="0" fontId="43" fillId="3" borderId="0" xfId="0" applyFont="1" applyFill="1" applyBorder="1" applyAlignment="1" applyProtection="1">
      <alignment horizontal="center"/>
    </xf>
    <xf numFmtId="0" fontId="43" fillId="3" borderId="6" xfId="0" applyFont="1" applyFill="1" applyBorder="1" applyAlignment="1" applyProtection="1">
      <alignment horizontal="center"/>
    </xf>
    <xf numFmtId="6" fontId="43" fillId="3" borderId="0" xfId="0" applyNumberFormat="1" applyFont="1" applyFill="1" applyBorder="1" applyProtection="1"/>
    <xf numFmtId="6" fontId="43" fillId="3" borderId="6" xfId="0" applyNumberFormat="1" applyFont="1" applyFill="1" applyBorder="1" applyProtection="1"/>
    <xf numFmtId="0" fontId="0" fillId="12" borderId="5" xfId="0" applyFill="1" applyBorder="1" applyAlignment="1" applyProtection="1">
      <alignment horizontal="left" indent="1"/>
    </xf>
    <xf numFmtId="0" fontId="43" fillId="0" borderId="25" xfId="0" applyFont="1" applyBorder="1" applyProtection="1"/>
    <xf numFmtId="6" fontId="43" fillId="8" borderId="24" xfId="0" applyNumberFormat="1" applyFont="1" applyFill="1" applyBorder="1" applyAlignment="1" applyProtection="1">
      <alignment horizontal="center"/>
    </xf>
    <xf numFmtId="0" fontId="43" fillId="0" borderId="28" xfId="0" applyFont="1" applyBorder="1" applyProtection="1"/>
    <xf numFmtId="0" fontId="43" fillId="8" borderId="24" xfId="0" applyFont="1" applyFill="1" applyBorder="1" applyAlignment="1" applyProtection="1">
      <alignment horizontal="center"/>
    </xf>
    <xf numFmtId="0" fontId="43" fillId="2" borderId="56" xfId="0" applyFont="1" applyFill="1" applyBorder="1" applyProtection="1"/>
    <xf numFmtId="6" fontId="6" fillId="12" borderId="24" xfId="0" applyNumberFormat="1" applyFont="1" applyFill="1" applyBorder="1" applyProtection="1"/>
    <xf numFmtId="6" fontId="6" fillId="12" borderId="55" xfId="0" applyNumberFormat="1" applyFont="1" applyFill="1" applyBorder="1" applyProtection="1"/>
    <xf numFmtId="169" fontId="43" fillId="8" borderId="24" xfId="2" applyNumberFormat="1" applyFont="1" applyFill="1" applyBorder="1" applyAlignment="1" applyProtection="1">
      <alignment horizontal="center"/>
    </xf>
    <xf numFmtId="0" fontId="43" fillId="0" borderId="30" xfId="0" applyFont="1" applyBorder="1" applyProtection="1"/>
    <xf numFmtId="8" fontId="43" fillId="3" borderId="32" xfId="0" applyNumberFormat="1" applyFont="1" applyFill="1" applyBorder="1" applyAlignment="1" applyProtection="1">
      <alignment horizontal="center"/>
    </xf>
    <xf numFmtId="0" fontId="43" fillId="0" borderId="5" xfId="0" applyFont="1" applyFill="1" applyBorder="1" applyProtection="1"/>
    <xf numFmtId="6" fontId="43" fillId="11" borderId="24" xfId="0" applyNumberFormat="1" applyFont="1" applyFill="1" applyBorder="1" applyAlignment="1" applyProtection="1">
      <alignment horizontal="center"/>
    </xf>
    <xf numFmtId="6" fontId="43" fillId="11" borderId="55" xfId="0" applyNumberFormat="1" applyFont="1" applyFill="1" applyBorder="1" applyAlignment="1" applyProtection="1">
      <alignment horizontal="center"/>
    </xf>
    <xf numFmtId="10" fontId="45" fillId="8" borderId="24" xfId="2" applyNumberFormat="1" applyFont="1" applyFill="1" applyBorder="1" applyProtection="1"/>
    <xf numFmtId="6" fontId="44" fillId="11" borderId="24" xfId="0" applyNumberFormat="1" applyFont="1" applyFill="1" applyBorder="1" applyAlignment="1" applyProtection="1">
      <alignment horizontal="center"/>
    </xf>
    <xf numFmtId="6" fontId="44" fillId="11" borderId="55" xfId="0" applyNumberFormat="1" applyFont="1" applyFill="1" applyBorder="1" applyAlignment="1" applyProtection="1">
      <alignment horizontal="center"/>
    </xf>
    <xf numFmtId="0" fontId="0" fillId="12" borderId="0" xfId="0" applyFill="1" applyProtection="1"/>
    <xf numFmtId="6" fontId="6" fillId="12" borderId="24" xfId="0" applyNumberFormat="1" applyFont="1" applyFill="1" applyBorder="1" applyAlignment="1" applyProtection="1">
      <alignment horizontal="center"/>
    </xf>
    <xf numFmtId="6" fontId="6" fillId="12" borderId="55" xfId="0" applyNumberFormat="1" applyFont="1" applyFill="1" applyBorder="1" applyAlignment="1" applyProtection="1">
      <alignment horizontal="center"/>
    </xf>
    <xf numFmtId="0" fontId="2" fillId="12" borderId="5" xfId="0" applyFont="1" applyFill="1" applyBorder="1" applyAlignment="1" applyProtection="1">
      <alignment horizontal="left" indent="2"/>
    </xf>
    <xf numFmtId="0" fontId="0" fillId="0" borderId="0" xfId="0" applyBorder="1" applyProtection="1"/>
    <xf numFmtId="0" fontId="2" fillId="0" borderId="0" xfId="0" applyFont="1" applyBorder="1" applyAlignment="1" applyProtection="1">
      <alignment horizontal="right"/>
    </xf>
    <xf numFmtId="6" fontId="29" fillId="3" borderId="0" xfId="0" applyNumberFormat="1" applyFont="1" applyFill="1" applyBorder="1" applyAlignment="1" applyProtection="1">
      <alignment horizontal="center"/>
    </xf>
    <xf numFmtId="6" fontId="29" fillId="3" borderId="46" xfId="0" applyNumberFormat="1" applyFont="1" applyFill="1" applyBorder="1" applyAlignment="1" applyProtection="1">
      <alignment horizontal="center"/>
    </xf>
    <xf numFmtId="0" fontId="46" fillId="0" borderId="5" xfId="0" applyFont="1" applyFill="1" applyBorder="1" applyAlignment="1" applyProtection="1">
      <alignment horizontal="right"/>
    </xf>
    <xf numFmtId="6" fontId="6" fillId="12" borderId="0" xfId="0" applyNumberFormat="1" applyFont="1" applyFill="1" applyBorder="1" applyAlignment="1" applyProtection="1">
      <alignment horizontal="center"/>
    </xf>
    <xf numFmtId="6" fontId="6" fillId="12" borderId="6" xfId="0" applyNumberFormat="1" applyFont="1" applyFill="1" applyBorder="1" applyAlignment="1" applyProtection="1">
      <alignment horizontal="center"/>
    </xf>
    <xf numFmtId="0" fontId="43" fillId="0" borderId="5" xfId="0" applyFont="1" applyFill="1" applyBorder="1" applyAlignment="1" applyProtection="1">
      <alignment horizontal="right" indent="2"/>
    </xf>
    <xf numFmtId="1" fontId="43" fillId="3" borderId="24" xfId="5" applyNumberFormat="1" applyFont="1" applyFill="1" applyBorder="1" applyAlignment="1" applyProtection="1">
      <alignment horizontal="center"/>
    </xf>
    <xf numFmtId="0" fontId="43" fillId="0" borderId="7" xfId="0" applyFont="1" applyFill="1" applyBorder="1" applyProtection="1"/>
    <xf numFmtId="6" fontId="6" fillId="8" borderId="8" xfId="0" applyNumberFormat="1" applyFont="1" applyFill="1" applyBorder="1" applyAlignment="1" applyProtection="1">
      <alignment horizontal="center"/>
    </xf>
    <xf numFmtId="6" fontId="6" fillId="12" borderId="8" xfId="0" applyNumberFormat="1" applyFont="1" applyFill="1" applyBorder="1" applyAlignment="1" applyProtection="1">
      <alignment horizontal="center"/>
    </xf>
    <xf numFmtId="0" fontId="43" fillId="12" borderId="0" xfId="0" applyFont="1" applyFill="1" applyBorder="1" applyProtection="1"/>
    <xf numFmtId="1" fontId="43" fillId="12" borderId="0" xfId="5" applyNumberFormat="1" applyFont="1" applyFill="1" applyBorder="1" applyAlignment="1" applyProtection="1">
      <alignment horizontal="center"/>
    </xf>
    <xf numFmtId="168" fontId="5" fillId="12" borderId="0" xfId="2" applyNumberFormat="1" applyFont="1" applyFill="1" applyBorder="1" applyAlignment="1" applyProtection="1">
      <alignment horizontal="center" vertical="center"/>
    </xf>
    <xf numFmtId="0" fontId="2" fillId="2" borderId="60" xfId="0" applyFont="1" applyFill="1" applyBorder="1" applyAlignment="1" applyProtection="1">
      <alignment horizontal="left" vertical="top" indent="1"/>
    </xf>
    <xf numFmtId="0" fontId="0" fillId="2" borderId="56" xfId="0" applyFill="1" applyBorder="1" applyAlignment="1" applyProtection="1">
      <alignment horizontal="left" indent="3"/>
    </xf>
    <xf numFmtId="169" fontId="5" fillId="12" borderId="24" xfId="2" applyNumberFormat="1" applyFont="1" applyFill="1" applyBorder="1" applyAlignment="1" applyProtection="1">
      <alignment horizontal="center"/>
    </xf>
    <xf numFmtId="0" fontId="0" fillId="2" borderId="0" xfId="0" applyFill="1" applyBorder="1" applyProtection="1"/>
    <xf numFmtId="0" fontId="0" fillId="2" borderId="6" xfId="0" applyFill="1" applyBorder="1" applyProtection="1"/>
    <xf numFmtId="0" fontId="0" fillId="2" borderId="5" xfId="0" applyFill="1" applyBorder="1" applyAlignment="1" applyProtection="1">
      <alignment horizontal="left" indent="3"/>
    </xf>
    <xf numFmtId="0" fontId="5" fillId="12" borderId="24" xfId="0" applyFont="1" applyFill="1" applyBorder="1" applyAlignment="1" applyProtection="1">
      <alignment horizontal="center"/>
    </xf>
    <xf numFmtId="0" fontId="0" fillId="2" borderId="24" xfId="0" applyFill="1" applyBorder="1" applyAlignment="1" applyProtection="1">
      <alignment horizontal="center"/>
    </xf>
    <xf numFmtId="0" fontId="0" fillId="2" borderId="55" xfId="0" applyFill="1" applyBorder="1" applyAlignment="1" applyProtection="1">
      <alignment horizontal="center"/>
    </xf>
    <xf numFmtId="169" fontId="5" fillId="12" borderId="57" xfId="2" applyNumberFormat="1" applyFont="1" applyFill="1" applyBorder="1" applyAlignment="1" applyProtection="1">
      <alignment horizontal="center"/>
    </xf>
    <xf numFmtId="0" fontId="0" fillId="2" borderId="0" xfId="0" applyFill="1" applyBorder="1" applyAlignment="1" applyProtection="1">
      <alignment horizontal="center"/>
    </xf>
    <xf numFmtId="0" fontId="0" fillId="2" borderId="6" xfId="0" applyFill="1" applyBorder="1" applyAlignment="1" applyProtection="1">
      <alignment horizontal="center"/>
    </xf>
    <xf numFmtId="0" fontId="0" fillId="2" borderId="5" xfId="0" applyFill="1" applyBorder="1" applyProtection="1"/>
    <xf numFmtId="0" fontId="2" fillId="2" borderId="56" xfId="0" applyFont="1" applyFill="1" applyBorder="1" applyAlignment="1" applyProtection="1">
      <alignment horizontal="left" indent="1"/>
    </xf>
    <xf numFmtId="0" fontId="0" fillId="2" borderId="43" xfId="0" applyFill="1" applyBorder="1" applyAlignment="1" applyProtection="1">
      <alignment horizontal="left" indent="3"/>
    </xf>
    <xf numFmtId="0" fontId="0" fillId="2" borderId="7" xfId="0" applyFill="1" applyBorder="1" applyAlignment="1" applyProtection="1">
      <alignment horizontal="left" indent="3"/>
    </xf>
    <xf numFmtId="169" fontId="5" fillId="12" borderId="58" xfId="2" applyNumberFormat="1" applyFont="1" applyFill="1" applyBorder="1" applyAlignment="1" applyProtection="1">
      <alignment horizontal="center"/>
    </xf>
    <xf numFmtId="0" fontId="0" fillId="12" borderId="0" xfId="0" applyFill="1" applyBorder="1" applyAlignment="1" applyProtection="1">
      <alignment horizontal="left" indent="3"/>
    </xf>
    <xf numFmtId="169" fontId="5" fillId="12" borderId="0" xfId="2" applyNumberFormat="1" applyFont="1" applyFill="1" applyBorder="1" applyAlignment="1" applyProtection="1">
      <alignment horizontal="center"/>
    </xf>
    <xf numFmtId="0" fontId="0" fillId="2" borderId="7" xfId="0" applyFill="1" applyBorder="1" applyProtection="1"/>
    <xf numFmtId="0" fontId="0" fillId="2" borderId="8" xfId="0" applyFill="1" applyBorder="1" applyProtection="1"/>
    <xf numFmtId="0" fontId="2" fillId="2" borderId="60" xfId="0" applyFont="1" applyFill="1" applyBorder="1" applyAlignment="1" applyProtection="1">
      <alignment horizontal="left" indent="1"/>
    </xf>
    <xf numFmtId="0" fontId="0" fillId="12" borderId="0" xfId="0" applyFill="1" applyBorder="1" applyAlignment="1" applyProtection="1">
      <alignment wrapText="1"/>
    </xf>
    <xf numFmtId="0" fontId="0" fillId="12" borderId="6" xfId="0" applyFill="1" applyBorder="1" applyAlignment="1" applyProtection="1">
      <alignment wrapText="1"/>
    </xf>
    <xf numFmtId="0" fontId="2" fillId="2" borderId="2" xfId="0" applyFont="1" applyFill="1" applyBorder="1" applyAlignment="1" applyProtection="1">
      <alignment horizontal="left" indent="3"/>
    </xf>
    <xf numFmtId="0" fontId="2" fillId="2" borderId="7" xfId="0" applyFont="1" applyFill="1" applyBorder="1" applyAlignment="1" applyProtection="1">
      <alignment horizontal="left" indent="3"/>
    </xf>
    <xf numFmtId="0" fontId="0" fillId="0" borderId="5" xfId="0" applyBorder="1" applyProtection="1"/>
    <xf numFmtId="0" fontId="0" fillId="0" borderId="6" xfId="0" applyBorder="1" applyProtection="1"/>
    <xf numFmtId="6" fontId="43" fillId="3" borderId="24" xfId="0" applyNumberFormat="1" applyFont="1" applyFill="1" applyBorder="1" applyAlignment="1" applyProtection="1">
      <alignment horizontal="center"/>
    </xf>
    <xf numFmtId="6" fontId="43" fillId="3" borderId="55" xfId="0" applyNumberFormat="1" applyFont="1" applyFill="1" applyBorder="1" applyAlignment="1" applyProtection="1">
      <alignment horizontal="center"/>
    </xf>
    <xf numFmtId="0" fontId="0" fillId="0" borderId="7" xfId="0" applyBorder="1" applyProtection="1"/>
    <xf numFmtId="0" fontId="0" fillId="0" borderId="8" xfId="0" applyBorder="1" applyProtection="1"/>
    <xf numFmtId="169" fontId="43" fillId="0" borderId="8" xfId="2" applyNumberFormat="1" applyFont="1" applyFill="1" applyBorder="1" applyAlignment="1" applyProtection="1">
      <alignment horizontal="center"/>
    </xf>
    <xf numFmtId="0" fontId="46" fillId="0" borderId="7" xfId="0" applyFont="1" applyFill="1" applyBorder="1" applyAlignment="1" applyProtection="1">
      <alignment horizontal="right"/>
    </xf>
    <xf numFmtId="6" fontId="6" fillId="12" borderId="9" xfId="0" applyNumberFormat="1" applyFont="1" applyFill="1" applyBorder="1" applyAlignment="1" applyProtection="1">
      <alignment horizontal="center"/>
    </xf>
    <xf numFmtId="0" fontId="2" fillId="2" borderId="2" xfId="0" applyFont="1" applyFill="1" applyBorder="1" applyProtection="1"/>
    <xf numFmtId="0" fontId="0" fillId="2" borderId="4" xfId="0" applyFill="1" applyBorder="1" applyAlignment="1" applyProtection="1">
      <alignment horizontal="right"/>
    </xf>
    <xf numFmtId="0" fontId="43" fillId="0" borderId="2" xfId="0" applyFont="1" applyFill="1" applyBorder="1" applyProtection="1"/>
    <xf numFmtId="6" fontId="43" fillId="3" borderId="47" xfId="0" applyNumberFormat="1" applyFont="1" applyFill="1" applyBorder="1" applyAlignment="1" applyProtection="1">
      <alignment horizontal="center"/>
    </xf>
    <xf numFmtId="6" fontId="43" fillId="3" borderId="59" xfId="0" applyNumberFormat="1" applyFont="1" applyFill="1" applyBorder="1" applyAlignment="1" applyProtection="1">
      <alignment horizontal="center"/>
    </xf>
    <xf numFmtId="6" fontId="43" fillId="3" borderId="65" xfId="0" applyNumberFormat="1" applyFont="1" applyFill="1" applyBorder="1" applyAlignment="1" applyProtection="1">
      <alignment horizontal="center"/>
    </xf>
    <xf numFmtId="6" fontId="43" fillId="3" borderId="66" xfId="0" applyNumberFormat="1" applyFont="1" applyFill="1" applyBorder="1" applyAlignment="1" applyProtection="1">
      <alignment horizontal="center"/>
    </xf>
    <xf numFmtId="0" fontId="0" fillId="12" borderId="0" xfId="0" applyFill="1" applyAlignment="1" applyProtection="1">
      <alignment horizontal="right"/>
    </xf>
    <xf numFmtId="0" fontId="0" fillId="12" borderId="0" xfId="0" applyFill="1" applyBorder="1" applyAlignment="1" applyProtection="1">
      <alignment horizontal="right"/>
    </xf>
    <xf numFmtId="6" fontId="0" fillId="12" borderId="3" xfId="0" applyNumberFormat="1" applyFill="1" applyBorder="1" applyProtection="1"/>
    <xf numFmtId="0" fontId="0" fillId="12" borderId="0" xfId="0" applyFont="1" applyFill="1" applyBorder="1" applyAlignment="1" applyProtection="1">
      <alignment horizontal="right"/>
    </xf>
    <xf numFmtId="6" fontId="0" fillId="12" borderId="0" xfId="0" applyNumberFormat="1" applyFill="1" applyBorder="1" applyProtection="1"/>
    <xf numFmtId="0" fontId="1" fillId="9" borderId="0" xfId="0" applyFont="1" applyFill="1" applyProtection="1"/>
    <xf numFmtId="0" fontId="1" fillId="9" borderId="0" xfId="0" applyFont="1" applyFill="1" applyBorder="1" applyProtection="1"/>
    <xf numFmtId="0" fontId="58" fillId="0" borderId="0" xfId="0" applyFont="1" applyProtection="1"/>
    <xf numFmtId="0" fontId="64" fillId="8" borderId="67" xfId="0" applyFont="1" applyFill="1" applyBorder="1" applyAlignment="1" applyProtection="1">
      <alignment horizontal="left" vertical="center"/>
    </xf>
    <xf numFmtId="0" fontId="64" fillId="4" borderId="67" xfId="0" applyFont="1" applyFill="1" applyBorder="1" applyAlignment="1" applyProtection="1">
      <alignment vertical="center"/>
    </xf>
    <xf numFmtId="0" fontId="1" fillId="3" borderId="2" xfId="0" applyFont="1" applyFill="1" applyBorder="1" applyProtection="1"/>
    <xf numFmtId="0" fontId="59" fillId="3" borderId="3" xfId="0" applyFont="1" applyFill="1" applyBorder="1" applyAlignment="1" applyProtection="1">
      <alignment horizontal="left" vertical="center"/>
    </xf>
    <xf numFmtId="0" fontId="5" fillId="3" borderId="3" xfId="0" applyFont="1" applyFill="1" applyBorder="1" applyProtection="1"/>
    <xf numFmtId="0" fontId="59" fillId="3" borderId="4" xfId="0" applyFont="1" applyFill="1" applyBorder="1" applyAlignment="1" applyProtection="1">
      <alignment horizontal="left" vertical="center"/>
    </xf>
    <xf numFmtId="0" fontId="59" fillId="3" borderId="0" xfId="0" applyFont="1" applyFill="1" applyBorder="1" applyAlignment="1" applyProtection="1">
      <alignment horizontal="left" vertical="center"/>
    </xf>
    <xf numFmtId="0" fontId="61" fillId="3" borderId="79" xfId="0" applyFont="1" applyFill="1" applyBorder="1" applyAlignment="1" applyProtection="1">
      <alignment horizontal="center" vertical="center"/>
    </xf>
    <xf numFmtId="0" fontId="59" fillId="3" borderId="6" xfId="0" applyFont="1" applyFill="1" applyBorder="1" applyAlignment="1" applyProtection="1">
      <alignment horizontal="left" vertical="center"/>
    </xf>
    <xf numFmtId="0" fontId="59" fillId="3" borderId="0" xfId="0" applyFont="1" applyFill="1" applyBorder="1" applyAlignment="1" applyProtection="1">
      <alignment horizontal="right"/>
    </xf>
    <xf numFmtId="0" fontId="2" fillId="3" borderId="0" xfId="0" applyFont="1" applyFill="1" applyBorder="1" applyAlignment="1" applyProtection="1">
      <alignment horizontal="center"/>
    </xf>
    <xf numFmtId="0" fontId="66" fillId="3" borderId="0" xfId="0" applyFont="1" applyFill="1" applyBorder="1" applyAlignment="1" applyProtection="1">
      <alignment horizontal="right" vertical="top"/>
    </xf>
    <xf numFmtId="0" fontId="73" fillId="3" borderId="0" xfId="4" applyFont="1" applyFill="1" applyBorder="1" applyAlignment="1" applyProtection="1">
      <alignment horizontal="center" vertical="top"/>
    </xf>
    <xf numFmtId="0" fontId="1" fillId="3" borderId="5" xfId="0" applyFont="1" applyFill="1" applyBorder="1" applyProtection="1"/>
    <xf numFmtId="0" fontId="5" fillId="3" borderId="0" xfId="0" applyFont="1" applyFill="1" applyBorder="1" applyProtection="1"/>
    <xf numFmtId="0" fontId="1" fillId="3" borderId="0" xfId="0" applyFont="1" applyFill="1" applyBorder="1" applyProtection="1"/>
    <xf numFmtId="0" fontId="1" fillId="3" borderId="0" xfId="0" applyFont="1" applyFill="1" applyBorder="1" applyAlignment="1" applyProtection="1"/>
    <xf numFmtId="0" fontId="1" fillId="3" borderId="0" xfId="0" applyFont="1" applyFill="1" applyBorder="1" applyAlignment="1" applyProtection="1">
      <alignment vertical="top"/>
    </xf>
    <xf numFmtId="0" fontId="13" fillId="4" borderId="2" xfId="0" applyFont="1" applyFill="1" applyBorder="1" applyAlignment="1" applyProtection="1">
      <alignment horizontal="right" vertical="center"/>
    </xf>
    <xf numFmtId="0" fontId="13" fillId="4" borderId="3" xfId="0" applyFont="1" applyFill="1" applyBorder="1" applyAlignment="1" applyProtection="1">
      <alignment horizontal="right" vertical="center"/>
    </xf>
    <xf numFmtId="0" fontId="1" fillId="4" borderId="3" xfId="0" applyFont="1" applyFill="1" applyBorder="1" applyProtection="1"/>
    <xf numFmtId="0" fontId="73" fillId="4" borderId="3" xfId="4" applyFont="1" applyFill="1" applyBorder="1" applyAlignment="1" applyProtection="1">
      <alignment horizontal="center" vertical="center"/>
    </xf>
    <xf numFmtId="0" fontId="59" fillId="4" borderId="4" xfId="0" applyFont="1" applyFill="1" applyBorder="1" applyAlignment="1" applyProtection="1">
      <alignment horizontal="left" vertical="center"/>
    </xf>
    <xf numFmtId="0" fontId="5" fillId="4" borderId="0" xfId="0" applyFont="1" applyFill="1" applyBorder="1" applyAlignment="1" applyProtection="1">
      <alignment horizontal="center" vertical="center" wrapText="1"/>
    </xf>
    <xf numFmtId="0" fontId="40" fillId="4" borderId="79" xfId="0" applyFont="1" applyFill="1" applyBorder="1" applyAlignment="1" applyProtection="1">
      <alignment horizontal="center" vertical="center"/>
    </xf>
    <xf numFmtId="0" fontId="59" fillId="4" borderId="6" xfId="0" applyFont="1" applyFill="1" applyBorder="1" applyAlignment="1" applyProtection="1">
      <alignment horizontal="left" vertical="center"/>
    </xf>
    <xf numFmtId="0" fontId="4" fillId="4" borderId="5" xfId="0" applyNumberFormat="1" applyFont="1" applyFill="1" applyBorder="1" applyAlignment="1" applyProtection="1">
      <alignment horizontal="right" vertical="center"/>
    </xf>
    <xf numFmtId="0" fontId="4" fillId="4" borderId="0" xfId="0" applyNumberFormat="1" applyFont="1" applyFill="1" applyBorder="1" applyAlignment="1" applyProtection="1">
      <alignment horizontal="right" vertical="center"/>
    </xf>
    <xf numFmtId="0" fontId="51" fillId="4" borderId="9" xfId="0" applyFont="1" applyFill="1" applyBorder="1" applyAlignment="1" applyProtection="1">
      <alignment vertical="center" wrapText="1"/>
    </xf>
    <xf numFmtId="0" fontId="5" fillId="9" borderId="0" xfId="0" applyFont="1" applyFill="1" applyProtection="1"/>
    <xf numFmtId="0" fontId="5" fillId="9" borderId="0" xfId="0" applyFont="1" applyFill="1" applyAlignment="1" applyProtection="1">
      <alignment horizontal="right"/>
    </xf>
    <xf numFmtId="0" fontId="26" fillId="15" borderId="0" xfId="4" applyFill="1" applyBorder="1" applyAlignment="1" applyProtection="1">
      <alignment horizontal="center" vertical="top"/>
    </xf>
    <xf numFmtId="0" fontId="64" fillId="8" borderId="67" xfId="0" applyFont="1" applyFill="1" applyBorder="1" applyAlignment="1" applyProtection="1">
      <alignment vertical="center"/>
    </xf>
    <xf numFmtId="0" fontId="1" fillId="12" borderId="5" xfId="0" applyFont="1" applyFill="1" applyBorder="1" applyProtection="1"/>
    <xf numFmtId="0" fontId="59" fillId="12" borderId="0" xfId="0" applyFont="1" applyFill="1" applyBorder="1" applyAlignment="1" applyProtection="1">
      <alignment horizontal="left" vertical="center"/>
    </xf>
    <xf numFmtId="0" fontId="59" fillId="14" borderId="6" xfId="0" applyFont="1" applyFill="1" applyBorder="1" applyAlignment="1" applyProtection="1">
      <alignment horizontal="left" vertical="center"/>
    </xf>
    <xf numFmtId="0" fontId="31" fillId="12" borderId="0" xfId="0" applyFont="1" applyFill="1" applyBorder="1" applyAlignment="1" applyProtection="1">
      <alignment horizontal="center" vertical="center" wrapText="1"/>
    </xf>
    <xf numFmtId="0" fontId="5" fillId="12" borderId="0" xfId="0" applyFont="1" applyFill="1" applyBorder="1" applyAlignment="1" applyProtection="1">
      <alignment vertical="top" wrapText="1"/>
    </xf>
    <xf numFmtId="0" fontId="5" fillId="12" borderId="0" xfId="0" applyFont="1" applyFill="1" applyBorder="1" applyAlignment="1" applyProtection="1">
      <alignment horizontal="center" vertical="center" wrapText="1"/>
    </xf>
    <xf numFmtId="0" fontId="59" fillId="12" borderId="6" xfId="0" applyFont="1" applyFill="1" applyBorder="1" applyAlignment="1" applyProtection="1">
      <alignment horizontal="left" vertical="center"/>
    </xf>
    <xf numFmtId="0" fontId="1" fillId="12" borderId="0" xfId="0" applyFont="1" applyFill="1" applyBorder="1" applyProtection="1"/>
    <xf numFmtId="0" fontId="9" fillId="12" borderId="5" xfId="0" applyFont="1" applyFill="1" applyBorder="1" applyAlignment="1" applyProtection="1">
      <alignment horizontal="right" vertical="center"/>
    </xf>
    <xf numFmtId="165" fontId="52" fillId="12" borderId="0" xfId="0" applyNumberFormat="1" applyFont="1" applyFill="1" applyBorder="1" applyAlignment="1" applyProtection="1">
      <alignment horizontal="center"/>
    </xf>
    <xf numFmtId="0" fontId="31" fillId="12" borderId="0" xfId="0" applyFont="1" applyFill="1" applyBorder="1" applyAlignment="1" applyProtection="1">
      <alignment vertical="center" wrapText="1"/>
    </xf>
    <xf numFmtId="169" fontId="52" fillId="12" borderId="0" xfId="2" applyNumberFormat="1" applyFont="1" applyFill="1" applyBorder="1" applyAlignment="1" applyProtection="1">
      <alignment horizontal="center"/>
    </xf>
    <xf numFmtId="0" fontId="13" fillId="12" borderId="0" xfId="0" applyFont="1" applyFill="1" applyBorder="1" applyProtection="1"/>
    <xf numFmtId="0" fontId="52" fillId="12" borderId="0" xfId="2" applyNumberFormat="1" applyFont="1" applyFill="1" applyBorder="1" applyAlignment="1" applyProtection="1">
      <alignment horizontal="center"/>
    </xf>
    <xf numFmtId="0" fontId="5" fillId="12" borderId="0" xfId="0" applyFont="1" applyFill="1" applyBorder="1" applyAlignment="1" applyProtection="1">
      <alignment vertical="center" wrapText="1"/>
    </xf>
    <xf numFmtId="0" fontId="1" fillId="12" borderId="0" xfId="0" applyFont="1" applyFill="1" applyBorder="1" applyAlignment="1" applyProtection="1">
      <alignment horizontal="center"/>
    </xf>
    <xf numFmtId="14" fontId="52" fillId="12" borderId="0" xfId="0" applyNumberFormat="1" applyFont="1" applyFill="1" applyBorder="1" applyAlignment="1" applyProtection="1">
      <alignment horizontal="center"/>
    </xf>
    <xf numFmtId="0" fontId="13" fillId="12" borderId="7" xfId="0" applyFont="1" applyFill="1" applyBorder="1" applyProtection="1"/>
    <xf numFmtId="0" fontId="1" fillId="12" borderId="8" xfId="0" applyFont="1" applyFill="1" applyBorder="1" applyProtection="1"/>
    <xf numFmtId="0" fontId="59" fillId="12" borderId="9" xfId="0" applyFont="1" applyFill="1" applyBorder="1" applyAlignment="1" applyProtection="1">
      <alignment horizontal="left" vertical="center"/>
    </xf>
    <xf numFmtId="14" fontId="13" fillId="9" borderId="0" xfId="0" applyNumberFormat="1" applyFont="1" applyFill="1" applyAlignment="1" applyProtection="1">
      <alignment horizontal="center" vertical="center"/>
    </xf>
    <xf numFmtId="165" fontId="13" fillId="9" borderId="0" xfId="0" applyNumberFormat="1" applyFont="1" applyFill="1" applyAlignment="1" applyProtection="1">
      <alignment horizontal="center" vertical="center"/>
    </xf>
    <xf numFmtId="169" fontId="13" fillId="9" borderId="0" xfId="2" applyNumberFormat="1" applyFont="1" applyFill="1" applyAlignment="1" applyProtection="1">
      <alignment horizontal="center" vertical="center"/>
    </xf>
    <xf numFmtId="0" fontId="13" fillId="9" borderId="0" xfId="0" applyFont="1" applyFill="1" applyAlignment="1" applyProtection="1">
      <alignment horizontal="center" vertical="center"/>
    </xf>
    <xf numFmtId="0" fontId="60" fillId="3" borderId="0" xfId="0" applyFont="1" applyFill="1" applyBorder="1" applyAlignment="1" applyProtection="1">
      <alignment horizontal="center" vertical="center"/>
    </xf>
    <xf numFmtId="0" fontId="39" fillId="3" borderId="3" xfId="0" applyFont="1" applyFill="1" applyBorder="1" applyAlignment="1" applyProtection="1">
      <alignment vertical="center" wrapText="1"/>
    </xf>
    <xf numFmtId="0" fontId="1" fillId="0" borderId="0" xfId="0" applyFont="1" applyFill="1" applyProtection="1"/>
    <xf numFmtId="0" fontId="13" fillId="3" borderId="5" xfId="0" applyFont="1" applyFill="1" applyBorder="1" applyAlignment="1" applyProtection="1">
      <alignment horizontal="right" vertical="center"/>
    </xf>
    <xf numFmtId="0" fontId="13" fillId="3" borderId="0" xfId="0" applyFont="1" applyFill="1" applyBorder="1" applyAlignment="1" applyProtection="1">
      <alignment horizontal="right" vertical="center"/>
    </xf>
    <xf numFmtId="0" fontId="13" fillId="3" borderId="0" xfId="0" applyFont="1" applyFill="1" applyBorder="1" applyAlignment="1" applyProtection="1">
      <alignment horizontal="right" vertical="top"/>
    </xf>
    <xf numFmtId="0" fontId="59" fillId="3" borderId="0" xfId="0" applyFont="1" applyFill="1" applyBorder="1" applyAlignment="1" applyProtection="1">
      <alignment horizontal="right" vertical="top"/>
    </xf>
    <xf numFmtId="0" fontId="1" fillId="4" borderId="2" xfId="0" applyFont="1" applyFill="1" applyBorder="1" applyProtection="1"/>
    <xf numFmtId="0" fontId="31" fillId="4" borderId="3" xfId="0" applyFont="1" applyFill="1" applyBorder="1" applyProtection="1"/>
    <xf numFmtId="0" fontId="59" fillId="4" borderId="3" xfId="0" applyFont="1" applyFill="1" applyBorder="1" applyAlignment="1" applyProtection="1">
      <alignment horizontal="left" vertical="center"/>
    </xf>
    <xf numFmtId="0" fontId="66" fillId="4" borderId="3" xfId="0" applyFont="1" applyFill="1" applyBorder="1" applyAlignment="1" applyProtection="1">
      <alignment horizontal="right" vertical="center"/>
    </xf>
    <xf numFmtId="0" fontId="40" fillId="4" borderId="0" xfId="0" applyFont="1" applyFill="1" applyBorder="1" applyAlignment="1" applyProtection="1">
      <alignment vertical="center"/>
    </xf>
    <xf numFmtId="0" fontId="39" fillId="4" borderId="79" xfId="0" applyFont="1" applyFill="1" applyBorder="1" applyAlignment="1" applyProtection="1">
      <alignment horizontal="center" vertical="center" shrinkToFit="1"/>
    </xf>
    <xf numFmtId="0" fontId="1" fillId="15" borderId="0" xfId="0" applyFont="1" applyFill="1" applyBorder="1" applyProtection="1"/>
    <xf numFmtId="0" fontId="5" fillId="4" borderId="0" xfId="0" applyFont="1" applyFill="1" applyBorder="1" applyAlignment="1" applyProtection="1">
      <alignment vertical="center" wrapText="1"/>
    </xf>
    <xf numFmtId="0" fontId="26" fillId="4" borderId="3" xfId="4" applyFill="1" applyBorder="1" applyAlignment="1" applyProtection="1">
      <alignment horizontal="center" vertical="center" wrapText="1"/>
    </xf>
    <xf numFmtId="0" fontId="0" fillId="4" borderId="6" xfId="0" applyFont="1" applyFill="1" applyBorder="1" applyAlignment="1" applyProtection="1">
      <alignment vertical="center" wrapText="1"/>
    </xf>
    <xf numFmtId="0" fontId="10" fillId="4" borderId="5" xfId="0" applyFont="1" applyFill="1" applyBorder="1" applyAlignment="1" applyProtection="1">
      <alignment vertical="center" wrapText="1"/>
    </xf>
    <xf numFmtId="0" fontId="10" fillId="4" borderId="0" xfId="0" applyFont="1" applyFill="1" applyBorder="1" applyAlignment="1" applyProtection="1">
      <alignment vertical="center" wrapText="1"/>
    </xf>
    <xf numFmtId="0" fontId="26" fillId="4" borderId="0" xfId="4" applyFill="1" applyBorder="1" applyAlignment="1" applyProtection="1">
      <alignment horizontal="center" wrapText="1"/>
    </xf>
    <xf numFmtId="0" fontId="1" fillId="4" borderId="0" xfId="0" applyFont="1" applyFill="1" applyBorder="1" applyProtection="1"/>
    <xf numFmtId="0" fontId="26" fillId="4" borderId="0" xfId="4" applyFill="1" applyBorder="1" applyAlignment="1" applyProtection="1">
      <alignment horizontal="center" vertical="center"/>
    </xf>
    <xf numFmtId="0" fontId="1" fillId="4" borderId="6" xfId="0" applyFont="1" applyFill="1" applyBorder="1" applyProtection="1"/>
    <xf numFmtId="0" fontId="1" fillId="4" borderId="7" xfId="0" applyFont="1" applyFill="1" applyBorder="1" applyProtection="1"/>
    <xf numFmtId="0" fontId="1" fillId="4" borderId="8" xfId="0" applyFont="1" applyFill="1" applyBorder="1" applyProtection="1"/>
    <xf numFmtId="0" fontId="0" fillId="4" borderId="8" xfId="0" applyFont="1" applyFill="1" applyBorder="1" applyProtection="1"/>
    <xf numFmtId="0" fontId="1" fillId="4" borderId="9" xfId="0" applyFont="1" applyFill="1" applyBorder="1" applyProtection="1"/>
    <xf numFmtId="0" fontId="1" fillId="15" borderId="0" xfId="0" applyFont="1" applyFill="1" applyProtection="1"/>
    <xf numFmtId="0" fontId="1" fillId="0" borderId="0" xfId="0" applyFont="1" applyFill="1" applyBorder="1" applyProtection="1"/>
    <xf numFmtId="0" fontId="37" fillId="15" borderId="0" xfId="0" applyFont="1" applyFill="1" applyBorder="1" applyProtection="1"/>
    <xf numFmtId="0" fontId="37" fillId="0" borderId="0" xfId="0" applyFont="1" applyFill="1" applyBorder="1" applyProtection="1"/>
    <xf numFmtId="0" fontId="0" fillId="15" borderId="0" xfId="0" applyFont="1" applyFill="1" applyBorder="1" applyProtection="1"/>
    <xf numFmtId="0" fontId="1" fillId="3" borderId="2" xfId="0" applyFont="1" applyFill="1" applyBorder="1" applyAlignment="1" applyProtection="1">
      <alignment horizontal="center" vertical="center" wrapText="1"/>
    </xf>
    <xf numFmtId="0" fontId="1" fillId="3" borderId="3" xfId="0" applyFont="1" applyFill="1" applyBorder="1" applyProtection="1"/>
    <xf numFmtId="0" fontId="5" fillId="3" borderId="3" xfId="0" applyFont="1" applyFill="1" applyBorder="1" applyAlignment="1" applyProtection="1">
      <alignment horizontal="center" vertical="center" wrapText="1"/>
    </xf>
    <xf numFmtId="0" fontId="1" fillId="3" borderId="4" xfId="0" applyFont="1" applyFill="1" applyBorder="1" applyAlignment="1" applyProtection="1">
      <alignment horizontal="center" wrapText="1"/>
    </xf>
    <xf numFmtId="0" fontId="37" fillId="15" borderId="0" xfId="0" applyFont="1" applyFill="1" applyBorder="1" applyAlignment="1" applyProtection="1">
      <alignment horizontal="center"/>
    </xf>
    <xf numFmtId="0" fontId="5" fillId="3" borderId="0" xfId="0" applyFont="1" applyFill="1" applyBorder="1" applyAlignment="1" applyProtection="1">
      <alignment horizontal="center" vertical="center" wrapText="1"/>
    </xf>
    <xf numFmtId="0" fontId="31" fillId="3" borderId="82" xfId="0" applyFont="1" applyFill="1" applyBorder="1" applyAlignment="1" applyProtection="1">
      <alignment horizontal="center" wrapText="1"/>
    </xf>
    <xf numFmtId="0" fontId="1" fillId="3" borderId="6" xfId="0" applyFont="1" applyFill="1" applyBorder="1" applyAlignment="1" applyProtection="1">
      <alignment horizontal="center" wrapText="1"/>
    </xf>
    <xf numFmtId="0" fontId="1" fillId="15" borderId="0" xfId="0" applyFont="1" applyFill="1" applyBorder="1" applyAlignment="1" applyProtection="1">
      <alignment horizontal="center"/>
    </xf>
    <xf numFmtId="0" fontId="1" fillId="3" borderId="5" xfId="0" applyFont="1" applyFill="1" applyBorder="1" applyAlignment="1" applyProtection="1">
      <alignment horizontal="center" vertical="center" wrapText="1"/>
    </xf>
    <xf numFmtId="0" fontId="1" fillId="3" borderId="0" xfId="0" applyFont="1" applyFill="1" applyBorder="1" applyAlignment="1" applyProtection="1">
      <alignment horizontal="center" vertical="center"/>
    </xf>
    <xf numFmtId="0" fontId="4" fillId="3" borderId="83" xfId="0" applyFont="1" applyFill="1" applyBorder="1" applyAlignment="1" applyProtection="1">
      <alignment horizontal="center" vertical="top"/>
    </xf>
    <xf numFmtId="0" fontId="50" fillId="3" borderId="5" xfId="0" applyFont="1" applyFill="1" applyBorder="1" applyAlignment="1" applyProtection="1">
      <alignment horizontal="center" vertical="center" wrapText="1"/>
    </xf>
    <xf numFmtId="0" fontId="50" fillId="3" borderId="24" xfId="0" applyFont="1" applyFill="1" applyBorder="1" applyAlignment="1" applyProtection="1">
      <alignment horizontal="center" vertical="center" wrapText="1"/>
    </xf>
    <xf numFmtId="0" fontId="10" fillId="3" borderId="54" xfId="0" applyFont="1" applyFill="1" applyBorder="1" applyAlignment="1" applyProtection="1">
      <alignment horizontal="center" vertical="center" wrapText="1"/>
    </xf>
    <xf numFmtId="0" fontId="50" fillId="3" borderId="57" xfId="0" applyFont="1" applyFill="1" applyBorder="1" applyAlignment="1" applyProtection="1">
      <alignment horizontal="center" vertical="center" wrapText="1"/>
    </xf>
    <xf numFmtId="1" fontId="1" fillId="3" borderId="5" xfId="0" applyNumberFormat="1" applyFont="1" applyFill="1" applyBorder="1" applyAlignment="1" applyProtection="1">
      <alignment horizontal="center"/>
    </xf>
    <xf numFmtId="6" fontId="74" fillId="4" borderId="24" xfId="0" applyNumberFormat="1" applyFont="1" applyFill="1" applyBorder="1" applyAlignment="1" applyProtection="1">
      <alignment horizontal="center" vertical="center"/>
    </xf>
    <xf numFmtId="6" fontId="13" fillId="3" borderId="24" xfId="0" applyNumberFormat="1" applyFont="1" applyFill="1" applyBorder="1" applyAlignment="1" applyProtection="1">
      <alignment horizontal="center"/>
    </xf>
    <xf numFmtId="6" fontId="1" fillId="3" borderId="0" xfId="0" applyNumberFormat="1" applyFont="1" applyFill="1" applyBorder="1" applyAlignment="1" applyProtection="1">
      <alignment horizontal="center"/>
    </xf>
    <xf numFmtId="0" fontId="67" fillId="4" borderId="24" xfId="0" applyFont="1" applyFill="1" applyBorder="1" applyAlignment="1" applyProtection="1">
      <alignment horizontal="center"/>
    </xf>
    <xf numFmtId="0" fontId="1" fillId="3" borderId="6" xfId="0" applyFont="1" applyFill="1" applyBorder="1" applyProtection="1"/>
    <xf numFmtId="0" fontId="1" fillId="0" borderId="0" xfId="0" applyFont="1" applyProtection="1"/>
    <xf numFmtId="0" fontId="67" fillId="3" borderId="24" xfId="0" applyFont="1" applyFill="1" applyBorder="1" applyAlignment="1" applyProtection="1">
      <alignment horizontal="center"/>
    </xf>
    <xf numFmtId="0" fontId="1" fillId="3" borderId="7" xfId="0" applyFont="1" applyFill="1" applyBorder="1" applyProtection="1"/>
    <xf numFmtId="0" fontId="1" fillId="3" borderId="8" xfId="0" applyFont="1" applyFill="1" applyBorder="1" applyProtection="1"/>
    <xf numFmtId="0" fontId="67" fillId="3" borderId="8" xfId="0" applyFont="1" applyFill="1" applyBorder="1" applyAlignment="1" applyProtection="1">
      <alignment horizontal="center"/>
    </xf>
    <xf numFmtId="0" fontId="1" fillId="3" borderId="9" xfId="0" applyFont="1" applyFill="1" applyBorder="1" applyProtection="1"/>
    <xf numFmtId="0" fontId="1" fillId="3" borderId="4" xfId="0" applyFont="1" applyFill="1" applyBorder="1" applyProtection="1"/>
    <xf numFmtId="0" fontId="10" fillId="3" borderId="28" xfId="0" applyFont="1" applyFill="1" applyBorder="1" applyAlignment="1" applyProtection="1">
      <alignment horizontal="center" vertical="center" wrapText="1"/>
    </xf>
    <xf numFmtId="0" fontId="13" fillId="3" borderId="0" xfId="0" applyFont="1" applyFill="1" applyBorder="1" applyProtection="1"/>
    <xf numFmtId="0" fontId="6" fillId="3" borderId="3" xfId="0" applyFont="1" applyFill="1" applyBorder="1" applyAlignment="1" applyProtection="1">
      <alignment wrapText="1"/>
    </xf>
    <xf numFmtId="0" fontId="1" fillId="3" borderId="54" xfId="0" applyFont="1" applyFill="1" applyBorder="1" applyProtection="1"/>
    <xf numFmtId="0" fontId="74" fillId="3" borderId="0" xfId="0" applyFont="1" applyFill="1" applyBorder="1" applyProtection="1"/>
    <xf numFmtId="6" fontId="31" fillId="3" borderId="24" xfId="0" applyNumberFormat="1" applyFont="1" applyFill="1" applyBorder="1" applyAlignment="1" applyProtection="1">
      <alignment horizontal="center"/>
    </xf>
    <xf numFmtId="165" fontId="37" fillId="3" borderId="0" xfId="3" applyNumberFormat="1" applyFont="1" applyFill="1" applyBorder="1" applyAlignment="1" applyProtection="1">
      <alignment horizontal="center"/>
    </xf>
    <xf numFmtId="0" fontId="67" fillId="3" borderId="0" xfId="0" applyFont="1" applyFill="1" applyBorder="1" applyAlignment="1" applyProtection="1">
      <alignment horizontal="center"/>
    </xf>
    <xf numFmtId="0" fontId="10" fillId="3" borderId="6" xfId="0" applyFont="1" applyFill="1" applyBorder="1" applyAlignment="1" applyProtection="1">
      <alignment wrapText="1"/>
    </xf>
    <xf numFmtId="0" fontId="10" fillId="9" borderId="0" xfId="0" applyFont="1" applyFill="1" applyBorder="1" applyAlignment="1" applyProtection="1">
      <alignment wrapText="1"/>
    </xf>
    <xf numFmtId="165" fontId="1" fillId="3" borderId="6" xfId="0" applyNumberFormat="1" applyFont="1" applyFill="1" applyBorder="1" applyAlignment="1" applyProtection="1">
      <alignment horizontal="center"/>
    </xf>
    <xf numFmtId="165" fontId="1" fillId="9" borderId="0" xfId="0" applyNumberFormat="1" applyFont="1" applyFill="1" applyBorder="1" applyAlignment="1" applyProtection="1">
      <alignment horizontal="center"/>
    </xf>
    <xf numFmtId="0" fontId="66" fillId="3" borderId="24" xfId="0" applyFont="1" applyFill="1" applyBorder="1" applyAlignment="1" applyProtection="1">
      <alignment horizontal="center" wrapText="1"/>
    </xf>
    <xf numFmtId="0" fontId="10" fillId="3" borderId="6" xfId="0" applyFont="1" applyFill="1" applyBorder="1" applyAlignment="1" applyProtection="1">
      <alignment vertical="center" wrapText="1"/>
    </xf>
    <xf numFmtId="0" fontId="1" fillId="3" borderId="6" xfId="0" applyFont="1" applyFill="1" applyBorder="1" applyAlignment="1" applyProtection="1">
      <alignment horizontal="center"/>
    </xf>
    <xf numFmtId="0" fontId="1" fillId="3" borderId="6" xfId="0" applyFont="1" applyFill="1" applyBorder="1" applyAlignment="1" applyProtection="1">
      <alignment horizontal="left"/>
    </xf>
    <xf numFmtId="6" fontId="1" fillId="3" borderId="36" xfId="0" applyNumberFormat="1" applyFont="1" applyFill="1" applyBorder="1" applyAlignment="1" applyProtection="1">
      <alignment horizontal="center"/>
    </xf>
    <xf numFmtId="0" fontId="1" fillId="3" borderId="0" xfId="0" applyFont="1" applyFill="1" applyBorder="1" applyAlignment="1" applyProtection="1">
      <alignment horizontal="right"/>
    </xf>
    <xf numFmtId="0" fontId="1" fillId="3" borderId="7" xfId="0" applyFont="1" applyFill="1" applyBorder="1" applyAlignment="1" applyProtection="1">
      <alignment vertical="top" wrapText="1"/>
    </xf>
    <xf numFmtId="0" fontId="1" fillId="3" borderId="8" xfId="0" applyFont="1" applyFill="1" applyBorder="1" applyAlignment="1" applyProtection="1">
      <alignment vertical="top" wrapText="1"/>
    </xf>
    <xf numFmtId="0" fontId="1" fillId="3" borderId="9" xfId="0" applyFont="1" applyFill="1" applyBorder="1" applyAlignment="1" applyProtection="1">
      <alignment vertical="top" wrapText="1"/>
    </xf>
    <xf numFmtId="0" fontId="1" fillId="9" borderId="0" xfId="0" applyFont="1" applyFill="1" applyBorder="1" applyAlignment="1" applyProtection="1">
      <alignment vertical="top"/>
    </xf>
    <xf numFmtId="0" fontId="59" fillId="12" borderId="5" xfId="0" applyFont="1" applyFill="1" applyBorder="1" applyAlignment="1" applyProtection="1">
      <alignment horizontal="left" vertical="center"/>
    </xf>
    <xf numFmtId="0" fontId="2" fillId="12" borderId="6" xfId="0" applyFont="1" applyFill="1" applyBorder="1" applyAlignment="1" applyProtection="1">
      <alignment horizontal="left"/>
    </xf>
    <xf numFmtId="0" fontId="8" fillId="12" borderId="5" xfId="0" applyFont="1" applyFill="1" applyBorder="1" applyAlignment="1" applyProtection="1">
      <alignment horizontal="center" wrapText="1"/>
    </xf>
    <xf numFmtId="10" fontId="9" fillId="12" borderId="5" xfId="0" applyNumberFormat="1" applyFont="1" applyFill="1" applyBorder="1" applyAlignment="1" applyProtection="1">
      <alignment horizontal="center"/>
    </xf>
    <xf numFmtId="0" fontId="1" fillId="12" borderId="0" xfId="0" applyFont="1" applyFill="1" applyBorder="1" applyAlignment="1" applyProtection="1"/>
    <xf numFmtId="10" fontId="9" fillId="12" borderId="0" xfId="0" applyNumberFormat="1" applyFont="1" applyFill="1" applyBorder="1" applyAlignment="1" applyProtection="1">
      <alignment horizontal="center"/>
    </xf>
    <xf numFmtId="0" fontId="84" fillId="12" borderId="26" xfId="0" applyNumberFormat="1" applyFont="1" applyFill="1" applyBorder="1" applyAlignment="1" applyProtection="1">
      <alignment horizontal="center" wrapText="1"/>
    </xf>
    <xf numFmtId="0" fontId="2" fillId="12" borderId="0" xfId="0" applyFont="1" applyFill="1" applyBorder="1" applyAlignment="1" applyProtection="1">
      <alignment horizontal="left"/>
    </xf>
    <xf numFmtId="0" fontId="1" fillId="12" borderId="6" xfId="0" applyFont="1" applyFill="1" applyBorder="1" applyProtection="1"/>
    <xf numFmtId="0" fontId="1" fillId="12" borderId="5" xfId="0" applyFont="1" applyFill="1" applyBorder="1" applyAlignment="1" applyProtection="1">
      <alignment horizontal="center" wrapText="1"/>
    </xf>
    <xf numFmtId="0" fontId="31" fillId="12" borderId="5" xfId="0" applyFont="1" applyFill="1" applyBorder="1" applyAlignment="1" applyProtection="1">
      <alignment horizontal="center" vertical="center" wrapText="1"/>
    </xf>
    <xf numFmtId="0" fontId="13" fillId="12" borderId="0" xfId="0" applyFont="1" applyFill="1" applyBorder="1" applyAlignment="1" applyProtection="1">
      <alignment vertical="center"/>
    </xf>
    <xf numFmtId="0" fontId="10" fillId="12" borderId="0" xfId="0" applyFont="1" applyFill="1" applyBorder="1" applyAlignment="1" applyProtection="1">
      <alignment horizontal="center" vertical="center" wrapText="1"/>
    </xf>
    <xf numFmtId="0" fontId="38" fillId="12" borderId="88" xfId="0" applyFont="1" applyFill="1" applyBorder="1" applyAlignment="1" applyProtection="1">
      <alignment horizontal="center" vertical="center" wrapText="1"/>
    </xf>
    <xf numFmtId="0" fontId="10" fillId="12" borderId="6" xfId="0" applyFont="1" applyFill="1" applyBorder="1" applyAlignment="1" applyProtection="1">
      <alignment horizontal="center" vertical="center" wrapText="1"/>
    </xf>
    <xf numFmtId="169" fontId="63" fillId="12" borderId="0" xfId="2" applyNumberFormat="1" applyFont="1" applyFill="1" applyBorder="1" applyAlignment="1" applyProtection="1">
      <alignment horizontal="center" vertical="center"/>
    </xf>
    <xf numFmtId="0" fontId="6" fillId="12" borderId="0" xfId="0" applyFont="1" applyFill="1" applyBorder="1" applyAlignment="1" applyProtection="1">
      <alignment vertical="top" wrapText="1"/>
    </xf>
    <xf numFmtId="8" fontId="29" fillId="12" borderId="89" xfId="0" applyNumberFormat="1" applyFont="1" applyFill="1" applyBorder="1" applyAlignment="1" applyProtection="1">
      <alignment horizontal="center" vertical="center"/>
    </xf>
    <xf numFmtId="0" fontId="6" fillId="12" borderId="6" xfId="0" applyFont="1" applyFill="1" applyBorder="1" applyAlignment="1" applyProtection="1">
      <alignment vertical="top" wrapText="1"/>
    </xf>
    <xf numFmtId="10" fontId="84" fillId="12" borderId="5" xfId="0" applyNumberFormat="1" applyFont="1" applyFill="1" applyBorder="1" applyAlignment="1" applyProtection="1">
      <alignment horizontal="right" wrapText="1"/>
    </xf>
    <xf numFmtId="6" fontId="84" fillId="12" borderId="26" xfId="0" applyNumberFormat="1" applyFont="1" applyFill="1" applyBorder="1" applyAlignment="1" applyProtection="1">
      <alignment horizontal="center" wrapText="1"/>
    </xf>
    <xf numFmtId="0" fontId="6" fillId="12" borderId="0" xfId="0" applyFont="1" applyFill="1" applyBorder="1" applyAlignment="1" applyProtection="1">
      <alignment wrapText="1"/>
    </xf>
    <xf numFmtId="8" fontId="84" fillId="12" borderId="26" xfId="0" applyNumberFormat="1" applyFont="1" applyFill="1" applyBorder="1" applyAlignment="1" applyProtection="1">
      <alignment horizontal="center" wrapText="1"/>
    </xf>
    <xf numFmtId="0" fontId="29" fillId="12" borderId="85" xfId="0" applyFont="1" applyFill="1" applyBorder="1" applyAlignment="1" applyProtection="1">
      <alignment horizontal="center" vertical="center"/>
    </xf>
    <xf numFmtId="0" fontId="1" fillId="12" borderId="0" xfId="0" applyFont="1" applyFill="1" applyBorder="1" applyAlignment="1" applyProtection="1">
      <alignment horizontal="center" wrapText="1"/>
    </xf>
    <xf numFmtId="0" fontId="71" fillId="12" borderId="0" xfId="0" applyFont="1" applyFill="1" applyBorder="1" applyAlignment="1" applyProtection="1">
      <alignment horizontal="center" vertical="center" wrapText="1"/>
    </xf>
    <xf numFmtId="0" fontId="59" fillId="12" borderId="5" xfId="0" applyFont="1" applyFill="1" applyBorder="1" applyAlignment="1" applyProtection="1">
      <alignment horizontal="right" vertical="center" wrapText="1"/>
    </xf>
    <xf numFmtId="0" fontId="1" fillId="12" borderId="0" xfId="0" applyFont="1" applyFill="1" applyBorder="1" applyAlignment="1" applyProtection="1">
      <alignment vertical="center"/>
    </xf>
    <xf numFmtId="165" fontId="13" fillId="12" borderId="0" xfId="0" applyNumberFormat="1" applyFont="1" applyFill="1" applyBorder="1" applyAlignment="1" applyProtection="1">
      <alignment horizontal="center" vertical="center"/>
    </xf>
    <xf numFmtId="0" fontId="6" fillId="12" borderId="0" xfId="0" applyFont="1" applyFill="1" applyBorder="1" applyAlignment="1" applyProtection="1">
      <alignment vertical="center" wrapText="1"/>
    </xf>
    <xf numFmtId="8" fontId="29" fillId="12" borderId="85" xfId="0" applyNumberFormat="1" applyFont="1" applyFill="1" applyBorder="1" applyAlignment="1" applyProtection="1">
      <alignment horizontal="center" vertical="center"/>
    </xf>
    <xf numFmtId="165" fontId="9" fillId="12" borderId="84" xfId="0" applyNumberFormat="1" applyFont="1" applyFill="1" applyBorder="1" applyAlignment="1" applyProtection="1">
      <alignment horizontal="center"/>
    </xf>
    <xf numFmtId="0" fontId="1" fillId="12" borderId="7" xfId="0" applyFont="1" applyFill="1" applyBorder="1" applyProtection="1"/>
    <xf numFmtId="6" fontId="9" fillId="12" borderId="8" xfId="0" applyNumberFormat="1" applyFont="1" applyFill="1" applyBorder="1" applyProtection="1"/>
    <xf numFmtId="0" fontId="8" fillId="12" borderId="9" xfId="0" applyFont="1" applyFill="1" applyBorder="1" applyProtection="1"/>
    <xf numFmtId="0" fontId="66" fillId="12" borderId="24" xfId="0" applyFont="1" applyFill="1" applyBorder="1" applyAlignment="1" applyProtection="1">
      <alignment horizontal="center" vertical="center" wrapText="1"/>
    </xf>
    <xf numFmtId="0" fontId="59" fillId="12" borderId="79" xfId="0" applyFont="1" applyFill="1" applyBorder="1" applyAlignment="1" applyProtection="1">
      <alignment horizontal="center" vertical="center" wrapText="1"/>
    </xf>
    <xf numFmtId="0" fontId="4" fillId="12" borderId="0" xfId="0" applyFont="1" applyFill="1" applyBorder="1" applyAlignment="1" applyProtection="1">
      <alignment vertical="center"/>
    </xf>
    <xf numFmtId="0" fontId="82" fillId="12" borderId="5" xfId="0" applyFont="1" applyFill="1" applyBorder="1" applyAlignment="1" applyProtection="1">
      <alignment horizontal="right" vertical="center"/>
    </xf>
    <xf numFmtId="0" fontId="59" fillId="12" borderId="54" xfId="0" applyFont="1" applyFill="1" applyBorder="1" applyAlignment="1" applyProtection="1">
      <alignment horizontal="center" vertical="center" wrapText="1"/>
    </xf>
    <xf numFmtId="0" fontId="0" fillId="12" borderId="0" xfId="0" applyFont="1" applyFill="1" applyBorder="1" applyProtection="1"/>
    <xf numFmtId="0" fontId="59" fillId="12" borderId="54" xfId="0" applyNumberFormat="1" applyFont="1" applyFill="1" applyBorder="1" applyAlignment="1" applyProtection="1">
      <alignment horizontal="center" vertical="center"/>
    </xf>
    <xf numFmtId="0" fontId="62" fillId="12" borderId="5" xfId="0" applyFont="1" applyFill="1" applyBorder="1" applyAlignment="1" applyProtection="1">
      <alignment horizontal="right" vertical="center" wrapText="1"/>
    </xf>
    <xf numFmtId="0" fontId="34" fillId="12" borderId="57" xfId="4" applyFont="1" applyFill="1" applyBorder="1" applyAlignment="1" applyProtection="1">
      <alignment horizontal="center" vertical="center"/>
    </xf>
    <xf numFmtId="0" fontId="0" fillId="12" borderId="0" xfId="0" applyFont="1" applyFill="1" applyBorder="1" applyAlignment="1" applyProtection="1">
      <alignment vertical="center"/>
    </xf>
    <xf numFmtId="0" fontId="0" fillId="12" borderId="0" xfId="0" applyFont="1" applyFill="1" applyBorder="1" applyAlignment="1" applyProtection="1">
      <alignment vertical="center" wrapText="1"/>
    </xf>
    <xf numFmtId="0" fontId="34" fillId="12" borderId="0" xfId="4" applyFont="1" applyFill="1" applyBorder="1" applyAlignment="1" applyProtection="1">
      <alignment horizontal="center" vertical="center"/>
    </xf>
    <xf numFmtId="0" fontId="40" fillId="12" borderId="0" xfId="0" applyFont="1" applyFill="1" applyBorder="1" applyAlignment="1" applyProtection="1">
      <alignment horizontal="center" vertical="center" wrapText="1"/>
    </xf>
    <xf numFmtId="0" fontId="0" fillId="12" borderId="7" xfId="0" applyFont="1" applyFill="1" applyBorder="1" applyAlignment="1" applyProtection="1">
      <alignment horizontal="left"/>
    </xf>
    <xf numFmtId="0" fontId="2" fillId="12" borderId="9" xfId="0" applyFont="1" applyFill="1" applyBorder="1" applyAlignment="1" applyProtection="1">
      <alignment horizontal="left"/>
    </xf>
    <xf numFmtId="0" fontId="0" fillId="9" borderId="0" xfId="0" applyFont="1" applyFill="1" applyBorder="1" applyAlignment="1" applyProtection="1">
      <alignment horizontal="left"/>
    </xf>
    <xf numFmtId="0" fontId="2" fillId="9" borderId="0" xfId="0" applyFont="1" applyFill="1" applyBorder="1" applyAlignment="1" applyProtection="1">
      <alignment horizontal="left"/>
    </xf>
    <xf numFmtId="0" fontId="1" fillId="3" borderId="3" xfId="0" applyFont="1" applyFill="1" applyBorder="1" applyAlignment="1" applyProtection="1">
      <alignment vertical="center"/>
    </xf>
    <xf numFmtId="0" fontId="6" fillId="3" borderId="3" xfId="0" applyFont="1" applyFill="1" applyBorder="1" applyAlignment="1" applyProtection="1">
      <alignment vertical="center" wrapText="1"/>
    </xf>
    <xf numFmtId="8" fontId="69" fillId="3" borderId="3" xfId="0" applyNumberFormat="1" applyFont="1" applyFill="1" applyBorder="1" applyAlignment="1" applyProtection="1">
      <alignment horizontal="right" vertical="center"/>
    </xf>
    <xf numFmtId="0" fontId="13" fillId="3" borderId="5" xfId="0" applyFont="1" applyFill="1" applyBorder="1" applyAlignment="1" applyProtection="1">
      <alignment horizontal="left" indent="1"/>
    </xf>
    <xf numFmtId="0" fontId="0" fillId="3" borderId="5" xfId="0" applyFont="1" applyFill="1" applyBorder="1" applyAlignment="1" applyProtection="1">
      <alignment horizontal="left"/>
    </xf>
    <xf numFmtId="0" fontId="1" fillId="12" borderId="28" xfId="0" applyFont="1" applyFill="1" applyBorder="1" applyProtection="1"/>
    <xf numFmtId="0" fontId="71" fillId="12" borderId="29" xfId="0" applyFont="1" applyFill="1" applyBorder="1" applyAlignment="1" applyProtection="1">
      <alignment horizontal="center" vertical="center" wrapText="1"/>
    </xf>
    <xf numFmtId="0" fontId="50" fillId="3" borderId="0" xfId="0" applyFont="1" applyFill="1" applyBorder="1" applyAlignment="1" applyProtection="1">
      <alignment horizontal="center" vertical="center" wrapText="1"/>
    </xf>
    <xf numFmtId="0" fontId="59" fillId="12" borderId="28" xfId="0" applyFont="1" applyFill="1" applyBorder="1" applyAlignment="1" applyProtection="1">
      <alignment horizontal="left" vertical="center" wrapText="1"/>
    </xf>
    <xf numFmtId="0" fontId="5" fillId="12" borderId="29" xfId="0" applyFont="1" applyFill="1" applyBorder="1" applyProtection="1"/>
    <xf numFmtId="0" fontId="5" fillId="12" borderId="28" xfId="0" applyFont="1" applyFill="1" applyBorder="1" applyAlignment="1" applyProtection="1">
      <alignment horizontal="right"/>
    </xf>
    <xf numFmtId="6" fontId="5" fillId="12" borderId="0" xfId="0" applyNumberFormat="1" applyFont="1" applyFill="1" applyBorder="1" applyAlignment="1" applyProtection="1">
      <alignment horizontal="center"/>
    </xf>
    <xf numFmtId="6" fontId="5" fillId="12" borderId="29" xfId="0" applyNumberFormat="1" applyFont="1" applyFill="1" applyBorder="1" applyAlignment="1" applyProtection="1">
      <alignment horizontal="center"/>
    </xf>
    <xf numFmtId="0" fontId="86" fillId="12" borderId="28" xfId="0" applyFont="1" applyFill="1" applyBorder="1" applyAlignment="1" applyProtection="1">
      <alignment horizontal="right"/>
    </xf>
    <xf numFmtId="6" fontId="87" fillId="12" borderId="0" xfId="0" applyNumberFormat="1" applyFont="1" applyFill="1" applyBorder="1" applyAlignment="1" applyProtection="1">
      <alignment horizontal="center" vertical="center"/>
    </xf>
    <xf numFmtId="6" fontId="87" fillId="12" borderId="29" xfId="0" applyNumberFormat="1" applyFont="1" applyFill="1" applyBorder="1" applyAlignment="1" applyProtection="1">
      <alignment horizontal="center" vertical="center"/>
    </xf>
    <xf numFmtId="6" fontId="59" fillId="12" borderId="24" xfId="0" applyNumberFormat="1" applyFont="1" applyFill="1" applyBorder="1" applyAlignment="1" applyProtection="1">
      <alignment horizontal="center" vertical="center"/>
    </xf>
    <xf numFmtId="8" fontId="5" fillId="12" borderId="36" xfId="0" applyNumberFormat="1" applyFont="1" applyFill="1" applyBorder="1" applyAlignment="1" applyProtection="1">
      <alignment horizontal="center"/>
    </xf>
    <xf numFmtId="8" fontId="5" fillId="12" borderId="93" xfId="0" applyNumberFormat="1" applyFont="1" applyFill="1" applyBorder="1" applyAlignment="1" applyProtection="1">
      <alignment horizontal="center"/>
    </xf>
    <xf numFmtId="0" fontId="1" fillId="12" borderId="29" xfId="0" applyFont="1" applyFill="1" applyBorder="1" applyProtection="1"/>
    <xf numFmtId="0" fontId="62" fillId="12" borderId="0" xfId="0" applyFont="1" applyFill="1" applyBorder="1" applyAlignment="1" applyProtection="1">
      <alignment horizontal="left" vertical="center"/>
    </xf>
    <xf numFmtId="0" fontId="6" fillId="3" borderId="0" xfId="0" applyFont="1" applyFill="1" applyBorder="1" applyAlignment="1" applyProtection="1">
      <alignment vertical="center" wrapText="1"/>
    </xf>
    <xf numFmtId="0" fontId="38" fillId="3" borderId="0" xfId="0" applyFont="1" applyFill="1" applyBorder="1" applyAlignment="1" applyProtection="1">
      <alignment vertical="center" wrapText="1"/>
    </xf>
    <xf numFmtId="0" fontId="1" fillId="3" borderId="0" xfId="0" applyFont="1" applyFill="1" applyBorder="1" applyAlignment="1" applyProtection="1">
      <alignment vertical="center"/>
    </xf>
    <xf numFmtId="0" fontId="26" fillId="12" borderId="57" xfId="4" applyFill="1" applyBorder="1" applyAlignment="1" applyProtection="1">
      <alignment horizontal="center" vertical="top"/>
    </xf>
    <xf numFmtId="0" fontId="1" fillId="12" borderId="30" xfId="0" applyFont="1" applyFill="1" applyBorder="1" applyProtection="1"/>
    <xf numFmtId="0" fontId="75" fillId="12" borderId="31" xfId="0" applyFont="1" applyFill="1" applyBorder="1" applyAlignment="1" applyProtection="1">
      <alignment horizontal="center" vertical="center" wrapText="1"/>
    </xf>
    <xf numFmtId="0" fontId="75" fillId="12" borderId="32" xfId="0" applyFont="1" applyFill="1" applyBorder="1" applyAlignment="1" applyProtection="1">
      <alignment horizontal="center" vertical="center" wrapText="1"/>
    </xf>
    <xf numFmtId="0" fontId="6" fillId="3" borderId="0" xfId="0" applyFont="1" applyFill="1" applyBorder="1" applyAlignment="1" applyProtection="1">
      <alignment vertical="center"/>
    </xf>
    <xf numFmtId="0" fontId="63" fillId="3" borderId="0" xfId="3" applyNumberFormat="1" applyFont="1" applyFill="1" applyBorder="1" applyAlignment="1" applyProtection="1">
      <alignment horizontal="center" vertical="center"/>
    </xf>
    <xf numFmtId="0" fontId="63" fillId="3" borderId="8" xfId="3" applyNumberFormat="1" applyFont="1" applyFill="1" applyBorder="1" applyAlignment="1" applyProtection="1">
      <alignment horizontal="center" vertical="center"/>
    </xf>
    <xf numFmtId="0" fontId="0" fillId="9" borderId="0" xfId="0" applyFont="1" applyFill="1" applyBorder="1" applyProtection="1"/>
    <xf numFmtId="0" fontId="13" fillId="3" borderId="0" xfId="0" applyFont="1" applyFill="1" applyBorder="1" applyAlignment="1" applyProtection="1">
      <alignment horizontal="center"/>
    </xf>
    <xf numFmtId="0" fontId="1" fillId="3" borderId="8" xfId="0" applyFont="1" applyFill="1" applyBorder="1" applyAlignment="1" applyProtection="1">
      <alignment horizontal="center" vertical="center"/>
    </xf>
    <xf numFmtId="0" fontId="13" fillId="3" borderId="82" xfId="0" applyFont="1" applyFill="1" applyBorder="1" applyAlignment="1" applyProtection="1">
      <alignment horizontal="center" vertical="center" wrapText="1"/>
    </xf>
    <xf numFmtId="0" fontId="4" fillId="3" borderId="83" xfId="0" applyFont="1" applyFill="1" applyBorder="1" applyAlignment="1" applyProtection="1">
      <alignment horizontal="center" vertical="center"/>
    </xf>
    <xf numFmtId="0" fontId="1" fillId="3" borderId="3" xfId="0" applyFont="1" applyFill="1" applyBorder="1" applyAlignment="1" applyProtection="1">
      <alignment horizontal="center" vertical="center"/>
    </xf>
    <xf numFmtId="0" fontId="13" fillId="3" borderId="82" xfId="0" applyFont="1" applyFill="1" applyBorder="1" applyAlignment="1" applyProtection="1">
      <alignment horizontal="center" wrapText="1"/>
    </xf>
    <xf numFmtId="0" fontId="10" fillId="3" borderId="5" xfId="0" applyFont="1" applyFill="1" applyBorder="1" applyAlignment="1" applyProtection="1">
      <alignment wrapText="1"/>
    </xf>
    <xf numFmtId="165" fontId="1" fillId="3" borderId="5" xfId="0" applyNumberFormat="1" applyFont="1" applyFill="1" applyBorder="1" applyAlignment="1" applyProtection="1">
      <alignment horizontal="center"/>
    </xf>
    <xf numFmtId="0" fontId="2" fillId="3" borderId="6" xfId="0" applyFont="1" applyFill="1" applyBorder="1" applyAlignment="1" applyProtection="1">
      <alignment vertical="center"/>
    </xf>
    <xf numFmtId="0" fontId="66" fillId="3" borderId="24" xfId="0" applyFont="1" applyFill="1" applyBorder="1" applyAlignment="1" applyProtection="1">
      <alignment horizontal="center" vertical="center" wrapText="1"/>
    </xf>
    <xf numFmtId="0" fontId="10" fillId="3" borderId="0" xfId="0" applyFont="1" applyFill="1" applyBorder="1" applyAlignment="1" applyProtection="1">
      <alignment vertical="center" wrapText="1"/>
    </xf>
    <xf numFmtId="0" fontId="10" fillId="3" borderId="0" xfId="0" applyFont="1" applyFill="1" applyBorder="1" applyAlignment="1" applyProtection="1">
      <alignment horizontal="center" vertical="center" wrapText="1"/>
    </xf>
    <xf numFmtId="0" fontId="77" fillId="3" borderId="0" xfId="0" applyFont="1" applyFill="1" applyBorder="1" applyAlignment="1" applyProtection="1">
      <alignment horizontal="left" vertical="center" wrapText="1"/>
    </xf>
    <xf numFmtId="0" fontId="1" fillId="3" borderId="0" xfId="0" applyFont="1" applyFill="1" applyBorder="1" applyAlignment="1" applyProtection="1">
      <alignment horizontal="center"/>
    </xf>
    <xf numFmtId="0" fontId="68" fillId="3" borderId="24" xfId="0" applyFont="1" applyFill="1" applyBorder="1" applyAlignment="1" applyProtection="1">
      <alignment horizontal="center" vertical="center" wrapText="1"/>
    </xf>
    <xf numFmtId="1" fontId="1" fillId="3" borderId="24" xfId="0" applyNumberFormat="1" applyFont="1" applyFill="1" applyBorder="1" applyAlignment="1" applyProtection="1">
      <alignment horizontal="center"/>
    </xf>
    <xf numFmtId="6" fontId="1" fillId="3" borderId="0" xfId="0" applyNumberFormat="1" applyFont="1" applyFill="1" applyBorder="1" applyAlignment="1" applyProtection="1">
      <alignment horizontal="center" vertical="center"/>
    </xf>
    <xf numFmtId="6" fontId="52" fillId="3" borderId="0" xfId="0" applyNumberFormat="1" applyFont="1" applyFill="1" applyBorder="1" applyAlignment="1" applyProtection="1">
      <alignment horizontal="left" vertical="center"/>
    </xf>
    <xf numFmtId="6" fontId="13" fillId="3" borderId="24" xfId="0" applyNumberFormat="1" applyFont="1" applyFill="1" applyBorder="1" applyAlignment="1" applyProtection="1">
      <alignment horizontal="center" vertical="center"/>
    </xf>
    <xf numFmtId="6" fontId="0" fillId="4" borderId="0" xfId="0" applyNumberFormat="1" applyFill="1" applyProtection="1"/>
    <xf numFmtId="6" fontId="1" fillId="0" borderId="0" xfId="0" applyNumberFormat="1" applyFont="1" applyProtection="1"/>
    <xf numFmtId="0" fontId="13" fillId="3" borderId="6" xfId="0" applyFont="1" applyFill="1" applyBorder="1" applyProtection="1"/>
    <xf numFmtId="0" fontId="0" fillId="3" borderId="5" xfId="0" applyFont="1" applyFill="1" applyBorder="1" applyAlignment="1" applyProtection="1">
      <alignment horizontal="center"/>
    </xf>
    <xf numFmtId="6" fontId="13" fillId="3" borderId="0" xfId="0" applyNumberFormat="1" applyFont="1" applyFill="1" applyBorder="1" applyAlignment="1" applyProtection="1">
      <alignment horizontal="center"/>
    </xf>
    <xf numFmtId="0" fontId="0" fillId="3" borderId="0" xfId="0" applyFont="1" applyFill="1" applyBorder="1" applyAlignment="1" applyProtection="1">
      <alignment horizontal="center"/>
    </xf>
    <xf numFmtId="0" fontId="13" fillId="3" borderId="0" xfId="0" applyFont="1" applyFill="1" applyBorder="1" applyAlignment="1" applyProtection="1">
      <alignment horizontal="right"/>
    </xf>
    <xf numFmtId="0" fontId="1" fillId="3" borderId="5" xfId="0" applyFont="1" applyFill="1" applyBorder="1" applyAlignment="1" applyProtection="1">
      <alignment horizontal="left" vertical="top" wrapText="1"/>
    </xf>
    <xf numFmtId="0" fontId="1" fillId="3" borderId="0" xfId="0" applyFont="1" applyFill="1" applyBorder="1" applyAlignment="1" applyProtection="1">
      <alignment vertical="top" wrapText="1"/>
    </xf>
    <xf numFmtId="0" fontId="31" fillId="3" borderId="0" xfId="0" applyFont="1" applyFill="1" applyBorder="1" applyAlignment="1" applyProtection="1">
      <alignment horizontal="center" vertical="center" wrapText="1"/>
    </xf>
    <xf numFmtId="0" fontId="1" fillId="3" borderId="6" xfId="0" applyFont="1" applyFill="1" applyBorder="1" applyAlignment="1" applyProtection="1">
      <alignment horizontal="left" vertical="top" wrapText="1"/>
    </xf>
    <xf numFmtId="0" fontId="1" fillId="3" borderId="7" xfId="0" applyFont="1" applyFill="1" applyBorder="1" applyAlignment="1" applyProtection="1">
      <alignment vertical="top"/>
    </xf>
    <xf numFmtId="0" fontId="1" fillId="3" borderId="8" xfId="0" applyFont="1" applyFill="1" applyBorder="1" applyAlignment="1" applyProtection="1">
      <alignment vertical="top"/>
    </xf>
    <xf numFmtId="0" fontId="1" fillId="3" borderId="8" xfId="0" applyFont="1" applyFill="1" applyBorder="1" applyAlignment="1" applyProtection="1">
      <alignment horizontal="center"/>
    </xf>
    <xf numFmtId="0" fontId="1" fillId="0" borderId="8" xfId="0" applyFont="1" applyBorder="1" applyProtection="1"/>
    <xf numFmtId="0" fontId="0" fillId="9" borderId="0" xfId="0" applyFill="1" applyProtection="1"/>
    <xf numFmtId="0" fontId="0" fillId="3" borderId="2" xfId="0" applyFill="1" applyBorder="1" applyProtection="1"/>
    <xf numFmtId="0" fontId="0" fillId="3" borderId="3" xfId="0" applyFill="1" applyBorder="1" applyProtection="1"/>
    <xf numFmtId="0" fontId="0" fillId="3" borderId="4" xfId="0" applyFill="1" applyBorder="1" applyProtection="1"/>
    <xf numFmtId="0" fontId="0" fillId="3" borderId="5" xfId="0" applyFill="1" applyBorder="1" applyProtection="1"/>
    <xf numFmtId="0" fontId="0" fillId="3" borderId="0" xfId="0" applyFill="1" applyBorder="1" applyProtection="1"/>
    <xf numFmtId="0" fontId="0" fillId="3" borderId="0" xfId="0" applyFill="1" applyBorder="1" applyAlignment="1" applyProtection="1">
      <alignment horizontal="center"/>
    </xf>
    <xf numFmtId="0" fontId="0" fillId="3" borderId="6" xfId="0" applyFill="1" applyBorder="1" applyProtection="1"/>
    <xf numFmtId="0" fontId="0" fillId="3" borderId="43" xfId="0" applyFill="1" applyBorder="1" applyProtection="1"/>
    <xf numFmtId="0" fontId="0" fillId="3" borderId="31" xfId="0" applyFill="1" applyBorder="1" applyProtection="1"/>
    <xf numFmtId="0" fontId="5" fillId="3" borderId="31" xfId="0" applyFont="1" applyFill="1" applyBorder="1" applyAlignment="1" applyProtection="1">
      <alignment horizontal="center"/>
    </xf>
    <xf numFmtId="0" fontId="31" fillId="3" borderId="44" xfId="0" applyFont="1" applyFill="1" applyBorder="1" applyAlignment="1" applyProtection="1">
      <alignment horizontal="right"/>
    </xf>
    <xf numFmtId="0" fontId="38" fillId="3" borderId="0" xfId="0" applyFont="1" applyFill="1" applyBorder="1" applyAlignment="1" applyProtection="1">
      <alignment horizontal="left" vertical="top" wrapText="1"/>
    </xf>
    <xf numFmtId="0" fontId="6" fillId="3" borderId="0" xfId="0" applyFont="1" applyFill="1" applyBorder="1" applyAlignment="1" applyProtection="1">
      <alignment vertical="top" wrapText="1"/>
    </xf>
    <xf numFmtId="0" fontId="6" fillId="3" borderId="0" xfId="0" applyFont="1" applyFill="1" applyBorder="1" applyAlignment="1" applyProtection="1">
      <alignment horizontal="center" vertical="top" wrapText="1"/>
    </xf>
    <xf numFmtId="0" fontId="5" fillId="3" borderId="0" xfId="2" applyNumberFormat="1" applyFont="1" applyFill="1" applyBorder="1" applyAlignment="1" applyProtection="1">
      <alignment horizontal="center"/>
    </xf>
    <xf numFmtId="0" fontId="5" fillId="3" borderId="31" xfId="2" applyNumberFormat="1" applyFont="1" applyFill="1" applyBorder="1" applyAlignment="1" applyProtection="1">
      <alignment horizontal="center"/>
    </xf>
    <xf numFmtId="0" fontId="0" fillId="3" borderId="0" xfId="0" applyFill="1" applyProtection="1"/>
    <xf numFmtId="0" fontId="5" fillId="3" borderId="0" xfId="2" applyNumberFormat="1" applyFont="1" applyFill="1" applyBorder="1" applyAlignment="1" applyProtection="1"/>
    <xf numFmtId="0" fontId="0" fillId="3" borderId="7" xfId="0" applyFill="1" applyBorder="1" applyProtection="1"/>
    <xf numFmtId="0" fontId="0" fillId="3" borderId="8" xfId="0" applyFill="1" applyBorder="1" applyProtection="1"/>
    <xf numFmtId="0" fontId="0" fillId="3" borderId="9" xfId="0" applyFill="1" applyBorder="1" applyProtection="1"/>
    <xf numFmtId="0" fontId="2" fillId="3" borderId="3" xfId="0" applyFont="1" applyFill="1" applyBorder="1" applyAlignment="1" applyProtection="1">
      <alignment horizontal="center"/>
    </xf>
    <xf numFmtId="0" fontId="2" fillId="3" borderId="0" xfId="0" applyFont="1" applyFill="1" applyBorder="1" applyProtection="1"/>
    <xf numFmtId="0" fontId="5" fillId="3" borderId="0" xfId="0" applyFont="1" applyFill="1" applyBorder="1" applyAlignment="1" applyProtection="1">
      <alignment horizontal="left" indent="1"/>
    </xf>
    <xf numFmtId="0" fontId="6" fillId="3" borderId="0" xfId="0" applyFont="1" applyFill="1" applyBorder="1" applyAlignment="1" applyProtection="1">
      <alignment horizontal="left" vertical="top"/>
    </xf>
    <xf numFmtId="6" fontId="37" fillId="4" borderId="24" xfId="3" applyNumberFormat="1" applyFont="1" applyFill="1" applyBorder="1" applyAlignment="1" applyProtection="1">
      <alignment horizontal="center"/>
    </xf>
    <xf numFmtId="0" fontId="0" fillId="3" borderId="45" xfId="0" applyFill="1" applyBorder="1" applyProtection="1"/>
    <xf numFmtId="0" fontId="2" fillId="3" borderId="26" xfId="0" applyFont="1" applyFill="1" applyBorder="1" applyAlignment="1" applyProtection="1">
      <alignment horizontal="center"/>
    </xf>
    <xf numFmtId="0" fontId="2" fillId="3" borderId="26" xfId="0" applyFont="1" applyFill="1" applyBorder="1" applyAlignment="1" applyProtection="1">
      <alignment horizontal="left"/>
    </xf>
    <xf numFmtId="0" fontId="2" fillId="3" borderId="26" xfId="0" applyFont="1" applyFill="1" applyBorder="1" applyProtection="1"/>
    <xf numFmtId="0" fontId="0" fillId="3" borderId="26" xfId="0" applyFill="1" applyBorder="1" applyProtection="1"/>
    <xf numFmtId="0" fontId="5" fillId="3" borderId="26" xfId="0" applyFont="1" applyFill="1" applyBorder="1" applyAlignment="1" applyProtection="1">
      <alignment horizontal="left" indent="1"/>
    </xf>
    <xf numFmtId="0" fontId="0" fillId="3" borderId="46" xfId="0" applyFill="1" applyBorder="1" applyProtection="1"/>
    <xf numFmtId="0" fontId="5" fillId="3" borderId="0" xfId="0" applyFont="1" applyFill="1" applyBorder="1" applyAlignment="1" applyProtection="1">
      <alignment horizontal="center" wrapText="1"/>
    </xf>
    <xf numFmtId="0" fontId="6" fillId="3" borderId="0" xfId="0" applyFont="1" applyFill="1" applyBorder="1" applyAlignment="1" applyProtection="1">
      <alignment horizontal="left" vertical="top" wrapText="1"/>
    </xf>
    <xf numFmtId="0" fontId="5" fillId="3" borderId="0" xfId="0" applyFont="1" applyFill="1" applyProtection="1"/>
    <xf numFmtId="0" fontId="5" fillId="3" borderId="0" xfId="0" applyFont="1" applyFill="1" applyBorder="1" applyAlignment="1" applyProtection="1">
      <alignment horizontal="right" indent="1"/>
    </xf>
    <xf numFmtId="10" fontId="1" fillId="4" borderId="24" xfId="2" applyNumberFormat="1" applyFont="1" applyFill="1" applyBorder="1" applyAlignment="1" applyProtection="1">
      <alignment horizontal="center"/>
    </xf>
    <xf numFmtId="1" fontId="1" fillId="4" borderId="24" xfId="2" applyNumberFormat="1" applyFont="1" applyFill="1" applyBorder="1" applyAlignment="1" applyProtection="1">
      <alignment horizontal="center"/>
    </xf>
    <xf numFmtId="0" fontId="1" fillId="4" borderId="24" xfId="2" applyNumberFormat="1" applyFont="1" applyFill="1" applyBorder="1" applyAlignment="1" applyProtection="1">
      <alignment horizontal="center"/>
    </xf>
    <xf numFmtId="0" fontId="6" fillId="3" borderId="0" xfId="0" applyFont="1" applyFill="1" applyBorder="1" applyAlignment="1" applyProtection="1">
      <alignment wrapText="1"/>
    </xf>
    <xf numFmtId="6" fontId="37" fillId="3" borderId="0" xfId="3" applyNumberFormat="1" applyFont="1" applyFill="1" applyBorder="1" applyAlignment="1" applyProtection="1">
      <alignment horizontal="center"/>
    </xf>
    <xf numFmtId="0" fontId="50" fillId="3" borderId="0" xfId="0" applyFont="1" applyFill="1" applyBorder="1" applyAlignment="1" applyProtection="1">
      <alignment horizontal="center" wrapText="1"/>
    </xf>
    <xf numFmtId="1" fontId="0" fillId="3" borderId="0" xfId="0" applyNumberFormat="1" applyFill="1" applyBorder="1" applyAlignment="1" applyProtection="1">
      <alignment horizontal="center"/>
    </xf>
    <xf numFmtId="165" fontId="0" fillId="3" borderId="0" xfId="0" applyNumberFormat="1" applyFill="1" applyBorder="1" applyAlignment="1" applyProtection="1">
      <alignment horizontal="center"/>
    </xf>
    <xf numFmtId="164" fontId="0" fillId="3" borderId="0" xfId="0" applyNumberFormat="1" applyFill="1" applyBorder="1" applyAlignment="1" applyProtection="1">
      <alignment horizontal="center"/>
    </xf>
    <xf numFmtId="165" fontId="0" fillId="9" borderId="0" xfId="0" applyNumberFormat="1" applyFill="1" applyAlignment="1" applyProtection="1">
      <alignment horizontal="left"/>
    </xf>
    <xf numFmtId="10" fontId="5" fillId="3" borderId="0" xfId="2" applyNumberFormat="1" applyFont="1" applyFill="1" applyBorder="1" applyAlignment="1" applyProtection="1">
      <alignment horizontal="center"/>
    </xf>
    <xf numFmtId="165" fontId="0" fillId="3" borderId="36" xfId="0" applyNumberFormat="1" applyFill="1" applyBorder="1" applyAlignment="1" applyProtection="1">
      <alignment horizontal="center"/>
    </xf>
    <xf numFmtId="0" fontId="31" fillId="9" borderId="0" xfId="0" applyFont="1" applyFill="1" applyAlignment="1" applyProtection="1">
      <alignment horizontal="right"/>
    </xf>
    <xf numFmtId="0" fontId="90" fillId="12" borderId="0" xfId="0" applyFont="1" applyFill="1" applyBorder="1" applyProtection="1"/>
    <xf numFmtId="0" fontId="31" fillId="12" borderId="0" xfId="0" applyFont="1" applyFill="1" applyBorder="1" applyAlignment="1" applyProtection="1"/>
    <xf numFmtId="0" fontId="31" fillId="2" borderId="24" xfId="0" applyFont="1" applyFill="1" applyBorder="1" applyAlignment="1" applyProtection="1">
      <alignment horizontal="center"/>
    </xf>
    <xf numFmtId="0" fontId="0" fillId="12" borderId="54" xfId="0" applyFill="1" applyBorder="1" applyProtection="1"/>
    <xf numFmtId="0" fontId="0" fillId="2" borderId="24" xfId="0" applyFill="1" applyBorder="1" applyProtection="1"/>
    <xf numFmtId="0" fontId="31" fillId="2" borderId="24" xfId="0" quotePrefix="1" applyFont="1" applyFill="1" applyBorder="1" applyAlignment="1" applyProtection="1">
      <alignment horizontal="center"/>
    </xf>
    <xf numFmtId="0" fontId="5" fillId="0" borderId="57" xfId="0" applyFont="1" applyBorder="1" applyAlignment="1" applyProtection="1">
      <alignment horizontal="center" wrapText="1"/>
    </xf>
    <xf numFmtId="0" fontId="21" fillId="0" borderId="57" xfId="0" applyFont="1" applyBorder="1" applyAlignment="1" applyProtection="1">
      <alignment horizontal="center" wrapText="1"/>
    </xf>
    <xf numFmtId="0" fontId="21" fillId="0" borderId="57" xfId="0" applyFont="1" applyFill="1" applyBorder="1" applyAlignment="1" applyProtection="1">
      <alignment horizontal="center" wrapText="1"/>
    </xf>
    <xf numFmtId="0" fontId="21" fillId="0" borderId="54" xfId="0" applyFont="1" applyFill="1" applyBorder="1" applyAlignment="1" applyProtection="1">
      <alignment horizontal="center" wrapText="1"/>
    </xf>
    <xf numFmtId="0" fontId="5" fillId="12" borderId="0" xfId="0" applyFont="1" applyFill="1" applyAlignment="1" applyProtection="1">
      <alignment horizontal="center" vertical="center" wrapText="1"/>
    </xf>
    <xf numFmtId="0" fontId="6" fillId="0" borderId="24" xfId="0" applyFont="1" applyFill="1" applyBorder="1" applyProtection="1"/>
    <xf numFmtId="6" fontId="6" fillId="0" borderId="24" xfId="0" applyNumberFormat="1" applyFont="1" applyFill="1" applyBorder="1" applyAlignment="1" applyProtection="1">
      <alignment horizontal="center"/>
    </xf>
    <xf numFmtId="0" fontId="6" fillId="0" borderId="24" xfId="0" applyFont="1" applyFill="1" applyBorder="1" applyAlignment="1" applyProtection="1">
      <alignment horizontal="center"/>
    </xf>
    <xf numFmtId="168" fontId="6" fillId="12" borderId="24" xfId="2" applyNumberFormat="1" applyFont="1" applyFill="1" applyBorder="1" applyProtection="1"/>
    <xf numFmtId="165" fontId="6" fillId="0" borderId="24" xfId="1" applyNumberFormat="1" applyFont="1" applyFill="1" applyBorder="1" applyAlignment="1" applyProtection="1">
      <alignment horizontal="center"/>
    </xf>
    <xf numFmtId="9" fontId="6" fillId="0" borderId="24" xfId="2" applyFont="1" applyFill="1" applyBorder="1" applyAlignment="1" applyProtection="1">
      <alignment horizontal="center"/>
    </xf>
    <xf numFmtId="0" fontId="62" fillId="12" borderId="0" xfId="0" applyFont="1" applyFill="1" applyAlignment="1" applyProtection="1">
      <alignment horizontal="right"/>
    </xf>
    <xf numFmtId="165" fontId="62" fillId="12" borderId="0" xfId="0" applyNumberFormat="1" applyFont="1" applyFill="1" applyBorder="1" applyProtection="1"/>
    <xf numFmtId="0" fontId="0" fillId="2" borderId="40" xfId="0" applyFill="1" applyBorder="1" applyProtection="1"/>
    <xf numFmtId="0" fontId="21" fillId="12" borderId="57" xfId="0" applyFont="1" applyFill="1" applyBorder="1" applyAlignment="1" applyProtection="1">
      <alignment horizontal="center" wrapText="1"/>
    </xf>
    <xf numFmtId="0" fontId="62" fillId="12" borderId="0" xfId="0" applyFont="1" applyFill="1" applyBorder="1" applyProtection="1"/>
    <xf numFmtId="0" fontId="21" fillId="12" borderId="0" xfId="0" applyFont="1" applyFill="1" applyProtection="1"/>
    <xf numFmtId="0" fontId="39" fillId="2" borderId="40" xfId="0" applyFont="1" applyFill="1" applyBorder="1" applyProtection="1"/>
    <xf numFmtId="0" fontId="39" fillId="2" borderId="41" xfId="0" applyFont="1" applyFill="1" applyBorder="1" applyProtection="1"/>
    <xf numFmtId="0" fontId="39" fillId="2" borderId="42" xfId="0" applyFont="1" applyFill="1" applyBorder="1" applyAlignment="1" applyProtection="1">
      <alignment horizontal="right"/>
    </xf>
    <xf numFmtId="6" fontId="39" fillId="12" borderId="24" xfId="0" applyNumberFormat="1" applyFont="1" applyFill="1" applyBorder="1" applyAlignment="1" applyProtection="1">
      <alignment horizontal="center"/>
    </xf>
    <xf numFmtId="0" fontId="21" fillId="0" borderId="24" xfId="0" applyFont="1" applyBorder="1" applyAlignment="1" applyProtection="1">
      <alignment horizontal="center" wrapText="1"/>
    </xf>
    <xf numFmtId="0" fontId="21" fillId="0" borderId="24" xfId="0" applyFont="1" applyFill="1" applyBorder="1" applyAlignment="1" applyProtection="1">
      <alignment horizontal="center" wrapText="1"/>
    </xf>
    <xf numFmtId="165" fontId="62" fillId="7" borderId="79" xfId="0" applyNumberFormat="1" applyFont="1" applyFill="1" applyBorder="1" applyAlignment="1" applyProtection="1">
      <alignment horizontal="center"/>
      <protection locked="0"/>
    </xf>
    <xf numFmtId="8" fontId="0" fillId="7" borderId="79" xfId="0" applyNumberFormat="1" applyFill="1" applyBorder="1" applyAlignment="1" applyProtection="1">
      <alignment horizontal="center"/>
      <protection locked="0"/>
    </xf>
    <xf numFmtId="0" fontId="0" fillId="12" borderId="0" xfId="0" applyFill="1" applyBorder="1" applyAlignment="1" applyProtection="1">
      <alignment horizontal="center" vertical="top" wrapText="1"/>
    </xf>
    <xf numFmtId="0" fontId="0" fillId="12" borderId="6" xfId="0" applyFill="1" applyBorder="1" applyAlignment="1" applyProtection="1">
      <alignment horizontal="center" vertical="top" wrapText="1"/>
    </xf>
    <xf numFmtId="0" fontId="4" fillId="12" borderId="2" xfId="0" applyFont="1" applyFill="1" applyBorder="1" applyProtection="1">
      <protection locked="0"/>
    </xf>
    <xf numFmtId="0" fontId="0" fillId="12" borderId="3" xfId="0" applyFill="1" applyBorder="1" applyProtection="1">
      <protection locked="0"/>
    </xf>
    <xf numFmtId="0" fontId="5" fillId="16" borderId="67" xfId="0" applyNumberFormat="1" applyFont="1" applyFill="1" applyBorder="1" applyAlignment="1" applyProtection="1">
      <alignment horizontal="center" vertical="center"/>
      <protection locked="0"/>
    </xf>
    <xf numFmtId="172" fontId="5" fillId="16" borderId="8" xfId="0" applyNumberFormat="1" applyFont="1" applyFill="1" applyBorder="1" applyAlignment="1" applyProtection="1">
      <alignment horizontal="left" vertical="center"/>
      <protection locked="0"/>
    </xf>
    <xf numFmtId="14" fontId="5" fillId="16" borderId="68" xfId="0" applyNumberFormat="1" applyFont="1" applyFill="1" applyBorder="1" applyAlignment="1" applyProtection="1">
      <alignment horizontal="left" vertical="center"/>
      <protection locked="0"/>
    </xf>
    <xf numFmtId="165" fontId="5" fillId="16" borderId="68" xfId="0" applyNumberFormat="1" applyFont="1" applyFill="1" applyBorder="1" applyAlignment="1" applyProtection="1">
      <alignment horizontal="left" vertical="center"/>
      <protection locked="0"/>
    </xf>
    <xf numFmtId="169" fontId="5" fillId="16" borderId="68" xfId="2" applyNumberFormat="1" applyFont="1" applyFill="1" applyBorder="1" applyAlignment="1" applyProtection="1">
      <alignment horizontal="left" vertical="center"/>
      <protection locked="0"/>
    </xf>
    <xf numFmtId="0" fontId="5" fillId="16" borderId="68" xfId="0" applyNumberFormat="1" applyFont="1" applyFill="1" applyBorder="1" applyAlignment="1" applyProtection="1">
      <alignment horizontal="left" vertical="center"/>
      <protection locked="0"/>
    </xf>
    <xf numFmtId="0" fontId="0" fillId="12" borderId="4" xfId="0" applyFill="1" applyBorder="1" applyProtection="1">
      <protection locked="0"/>
    </xf>
    <xf numFmtId="0" fontId="0" fillId="0" borderId="0" xfId="0" applyProtection="1">
      <protection locked="0"/>
    </xf>
    <xf numFmtId="0" fontId="0" fillId="12" borderId="5" xfId="0" applyFill="1" applyBorder="1" applyProtection="1">
      <protection locked="0"/>
    </xf>
    <xf numFmtId="0" fontId="2" fillId="12" borderId="0" xfId="0" applyFont="1" applyFill="1" applyBorder="1" applyProtection="1">
      <protection locked="0"/>
    </xf>
    <xf numFmtId="0" fontId="0" fillId="12" borderId="6" xfId="0" applyFill="1" applyBorder="1" applyProtection="1">
      <protection locked="0"/>
    </xf>
    <xf numFmtId="0" fontId="0" fillId="12" borderId="0" xfId="0" applyFill="1" applyBorder="1" applyProtection="1">
      <protection locked="0"/>
    </xf>
    <xf numFmtId="0" fontId="0" fillId="12" borderId="0" xfId="0" applyFill="1" applyBorder="1" applyAlignment="1" applyProtection="1">
      <alignment horizontal="left" indent="1"/>
      <protection locked="0"/>
    </xf>
    <xf numFmtId="0" fontId="5" fillId="12" borderId="0" xfId="0" applyFont="1" applyFill="1" applyBorder="1" applyProtection="1">
      <protection locked="0"/>
    </xf>
    <xf numFmtId="6" fontId="0" fillId="12" borderId="6" xfId="0" applyNumberFormat="1" applyFill="1" applyBorder="1" applyProtection="1">
      <protection locked="0"/>
    </xf>
    <xf numFmtId="0" fontId="31" fillId="12" borderId="0" xfId="0" applyFont="1" applyFill="1" applyBorder="1" applyProtection="1">
      <protection locked="0"/>
    </xf>
    <xf numFmtId="6" fontId="36" fillId="12" borderId="0" xfId="0" applyNumberFormat="1" applyFont="1" applyFill="1" applyBorder="1" applyProtection="1">
      <protection locked="0"/>
    </xf>
    <xf numFmtId="6" fontId="5" fillId="12" borderId="0" xfId="0" applyNumberFormat="1" applyFont="1" applyFill="1" applyBorder="1" applyProtection="1">
      <protection locked="0"/>
    </xf>
    <xf numFmtId="0" fontId="31" fillId="12" borderId="0" xfId="0" applyFont="1" applyFill="1" applyBorder="1" applyAlignment="1" applyProtection="1">
      <alignment horizontal="left" indent="2"/>
      <protection locked="0"/>
    </xf>
    <xf numFmtId="170" fontId="36" fillId="12" borderId="0" xfId="2" applyNumberFormat="1" applyFont="1" applyFill="1" applyBorder="1" applyProtection="1">
      <protection locked="0"/>
    </xf>
    <xf numFmtId="0" fontId="0" fillId="12" borderId="7" xfId="0" applyFill="1" applyBorder="1" applyProtection="1">
      <protection locked="0"/>
    </xf>
    <xf numFmtId="0" fontId="0" fillId="12" borderId="8" xfId="0" applyFill="1" applyBorder="1" applyProtection="1">
      <protection locked="0"/>
    </xf>
    <xf numFmtId="0" fontId="5" fillId="12" borderId="8" xfId="0" applyFont="1" applyFill="1" applyBorder="1" applyProtection="1">
      <protection locked="0"/>
    </xf>
    <xf numFmtId="6" fontId="5" fillId="12" borderId="8" xfId="0" applyNumberFormat="1" applyFont="1" applyFill="1" applyBorder="1" applyProtection="1">
      <protection locked="0"/>
    </xf>
    <xf numFmtId="0" fontId="0" fillId="12" borderId="9" xfId="0" applyFill="1" applyBorder="1" applyProtection="1">
      <protection locked="0"/>
    </xf>
    <xf numFmtId="0" fontId="0" fillId="2" borderId="3" xfId="0" applyFill="1" applyBorder="1" applyProtection="1">
      <protection locked="0"/>
    </xf>
    <xf numFmtId="0" fontId="0" fillId="2" borderId="4" xfId="0" applyFill="1" applyBorder="1" applyProtection="1">
      <protection locked="0"/>
    </xf>
    <xf numFmtId="0" fontId="0" fillId="2" borderId="9" xfId="0" applyFill="1" applyBorder="1" applyProtection="1">
      <protection locked="0"/>
    </xf>
    <xf numFmtId="0" fontId="0" fillId="0" borderId="0" xfId="0" applyBorder="1" applyProtection="1">
      <protection locked="0"/>
    </xf>
    <xf numFmtId="0" fontId="0" fillId="2" borderId="8" xfId="0" applyFill="1" applyBorder="1" applyProtection="1">
      <protection locked="0"/>
    </xf>
    <xf numFmtId="0" fontId="2" fillId="2" borderId="7" xfId="0" applyFont="1" applyFill="1" applyBorder="1" applyAlignment="1" applyProtection="1">
      <alignment horizontal="left" indent="3"/>
      <protection locked="0"/>
    </xf>
    <xf numFmtId="0" fontId="0" fillId="0" borderId="5"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2" fillId="2" borderId="2" xfId="0" applyFont="1" applyFill="1" applyBorder="1" applyProtection="1">
      <protection locked="0"/>
    </xf>
    <xf numFmtId="6" fontId="0" fillId="0" borderId="0" xfId="0" applyNumberFormat="1" applyBorder="1" applyProtection="1">
      <protection locked="0"/>
    </xf>
    <xf numFmtId="6" fontId="0" fillId="0" borderId="6" xfId="0" applyNumberFormat="1" applyBorder="1" applyProtection="1">
      <protection locked="0"/>
    </xf>
    <xf numFmtId="6" fontId="0" fillId="0" borderId="8" xfId="0" applyNumberFormat="1" applyBorder="1" applyProtection="1">
      <protection locked="0"/>
    </xf>
    <xf numFmtId="6" fontId="0" fillId="0" borderId="9" xfId="0" applyNumberFormat="1" applyBorder="1" applyProtection="1">
      <protection locked="0"/>
    </xf>
    <xf numFmtId="10" fontId="0" fillId="0" borderId="0" xfId="0" applyNumberFormat="1" applyBorder="1" applyProtection="1">
      <protection locked="0"/>
    </xf>
    <xf numFmtId="10" fontId="0" fillId="0" borderId="6" xfId="0" applyNumberFormat="1" applyBorder="1" applyProtection="1">
      <protection locked="0"/>
    </xf>
    <xf numFmtId="0" fontId="91" fillId="12" borderId="0" xfId="0" applyFont="1" applyFill="1" applyBorder="1" applyAlignment="1">
      <alignment horizontal="center" wrapText="1"/>
    </xf>
    <xf numFmtId="0" fontId="26" fillId="12" borderId="0" xfId="4" applyFill="1" applyBorder="1" applyAlignment="1">
      <alignment horizontal="center" vertical="center" wrapText="1"/>
    </xf>
    <xf numFmtId="0" fontId="26" fillId="12" borderId="6" xfId="4" applyFill="1" applyBorder="1" applyAlignment="1">
      <alignment horizontal="center" vertical="center" wrapText="1"/>
    </xf>
    <xf numFmtId="0" fontId="10" fillId="12" borderId="6" xfId="0" applyFont="1" applyFill="1" applyBorder="1" applyAlignment="1">
      <alignment horizontal="center"/>
    </xf>
    <xf numFmtId="0" fontId="39" fillId="2" borderId="0" xfId="0" applyFont="1" applyFill="1" applyBorder="1" applyAlignment="1">
      <alignment vertical="top" wrapText="1"/>
    </xf>
    <xf numFmtId="0" fontId="83" fillId="2" borderId="6" xfId="0" applyFont="1" applyFill="1" applyBorder="1"/>
    <xf numFmtId="0" fontId="93" fillId="2" borderId="6" xfId="4" applyFont="1" applyFill="1" applyBorder="1" applyAlignment="1"/>
    <xf numFmtId="0" fontId="39" fillId="2" borderId="0" xfId="0" applyFont="1" applyFill="1" applyBorder="1" applyAlignment="1">
      <alignment vertical="center" wrapText="1"/>
    </xf>
    <xf numFmtId="0" fontId="39" fillId="2" borderId="24" xfId="0" applyFont="1" applyFill="1" applyBorder="1" applyAlignment="1">
      <alignment vertical="center" wrapText="1"/>
    </xf>
    <xf numFmtId="0" fontId="39" fillId="2" borderId="24" xfId="0" applyFont="1" applyFill="1" applyBorder="1" applyAlignment="1">
      <alignment vertical="top" wrapText="1"/>
    </xf>
    <xf numFmtId="0" fontId="94" fillId="12" borderId="0" xfId="0" applyFont="1" applyFill="1" applyAlignment="1" applyProtection="1">
      <alignment vertical="center"/>
    </xf>
    <xf numFmtId="0" fontId="59" fillId="12" borderId="0" xfId="0" applyFont="1" applyFill="1" applyBorder="1" applyAlignment="1" applyProtection="1">
      <alignment horizontal="center" vertical="center"/>
    </xf>
    <xf numFmtId="14" fontId="35" fillId="2" borderId="5" xfId="0" applyNumberFormat="1" applyFont="1" applyFill="1" applyBorder="1" applyAlignment="1">
      <alignment horizontal="center"/>
    </xf>
    <xf numFmtId="172" fontId="5" fillId="3" borderId="24" xfId="2" applyNumberFormat="1" applyFont="1" applyFill="1" applyBorder="1" applyAlignment="1" applyProtection="1">
      <alignment horizontal="center"/>
      <protection locked="0"/>
    </xf>
    <xf numFmtId="0" fontId="0" fillId="2" borderId="26" xfId="0" applyFill="1" applyBorder="1" applyAlignment="1">
      <alignment wrapText="1"/>
    </xf>
    <xf numFmtId="0" fontId="0" fillId="2" borderId="0" xfId="0" applyFill="1"/>
    <xf numFmtId="0" fontId="5" fillId="2" borderId="0" xfId="0" applyFont="1" applyFill="1"/>
    <xf numFmtId="0" fontId="0" fillId="18" borderId="0" xfId="0" applyFill="1"/>
    <xf numFmtId="0" fontId="41" fillId="2" borderId="0" xfId="0" applyFont="1" applyFill="1" applyBorder="1" applyAlignment="1">
      <alignment horizontal="left" vertical="top" wrapText="1"/>
    </xf>
    <xf numFmtId="0" fontId="72" fillId="2" borderId="3" xfId="0" applyFont="1" applyFill="1" applyBorder="1" applyAlignment="1">
      <alignment horizontal="center" wrapText="1"/>
    </xf>
    <xf numFmtId="0" fontId="72" fillId="2" borderId="0" xfId="0" applyFont="1" applyFill="1" applyBorder="1" applyAlignment="1">
      <alignment horizontal="center" wrapText="1"/>
    </xf>
    <xf numFmtId="0" fontId="41" fillId="0" borderId="0" xfId="0" applyFont="1" applyFill="1" applyBorder="1" applyAlignment="1">
      <alignment horizontal="left" vertical="top" wrapText="1"/>
    </xf>
    <xf numFmtId="0" fontId="40" fillId="2" borderId="0" xfId="0" applyFont="1" applyFill="1" applyBorder="1" applyAlignment="1">
      <alignment horizontal="center"/>
    </xf>
    <xf numFmtId="0" fontId="10" fillId="2" borderId="0" xfId="0" applyFont="1" applyFill="1" applyBorder="1" applyAlignment="1">
      <alignment horizontal="left" vertical="top" wrapText="1"/>
    </xf>
    <xf numFmtId="0" fontId="35" fillId="2" borderId="0" xfId="0" applyFont="1" applyFill="1" applyBorder="1" applyAlignment="1">
      <alignment horizontal="left" vertical="top" wrapText="1"/>
    </xf>
    <xf numFmtId="0" fontId="0" fillId="0" borderId="2"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0" fillId="0" borderId="7" xfId="0" applyBorder="1" applyAlignment="1" applyProtection="1">
      <alignment horizontal="center" wrapText="1"/>
      <protection locked="0"/>
    </xf>
    <xf numFmtId="0" fontId="0" fillId="0" borderId="8"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35" fillId="0" borderId="2" xfId="0" applyFont="1" applyBorder="1" applyAlignment="1">
      <alignment horizontal="center" wrapText="1"/>
    </xf>
    <xf numFmtId="0" fontId="35" fillId="0" borderId="3" xfId="0" applyFont="1" applyBorder="1" applyAlignment="1">
      <alignment horizontal="center" wrapText="1"/>
    </xf>
    <xf numFmtId="0" fontId="35" fillId="0" borderId="4" xfId="0" applyFont="1" applyBorder="1" applyAlignment="1">
      <alignment horizontal="center" wrapText="1"/>
    </xf>
    <xf numFmtId="0" fontId="35" fillId="0" borderId="7" xfId="0" applyFont="1" applyBorder="1" applyAlignment="1">
      <alignment horizontal="center" wrapText="1"/>
    </xf>
    <xf numFmtId="0" fontId="35" fillId="0" borderId="8" xfId="0" applyFont="1" applyBorder="1" applyAlignment="1">
      <alignment horizontal="center" wrapText="1"/>
    </xf>
    <xf numFmtId="0" fontId="35" fillId="0" borderId="9" xfId="0" applyFont="1" applyBorder="1" applyAlignment="1">
      <alignment horizontal="center" wrapText="1"/>
    </xf>
    <xf numFmtId="0" fontId="61" fillId="3" borderId="67" xfId="0" applyFont="1" applyFill="1" applyBorder="1" applyAlignment="1">
      <alignment horizontal="center" vertical="center"/>
    </xf>
    <xf numFmtId="0" fontId="61" fillId="3" borderId="68" xfId="0" applyFont="1" applyFill="1" applyBorder="1" applyAlignment="1">
      <alignment horizontal="center" vertical="center"/>
    </xf>
    <xf numFmtId="0" fontId="61" fillId="3" borderId="78" xfId="0" applyFont="1" applyFill="1" applyBorder="1" applyAlignment="1">
      <alignment horizontal="center" vertical="center"/>
    </xf>
    <xf numFmtId="0" fontId="26" fillId="12" borderId="5" xfId="4" applyFill="1" applyBorder="1" applyAlignment="1">
      <alignment horizontal="center"/>
    </xf>
    <xf numFmtId="0" fontId="26" fillId="12" borderId="0" xfId="4" applyFill="1" applyBorder="1" applyAlignment="1">
      <alignment horizontal="center"/>
    </xf>
    <xf numFmtId="0" fontId="13" fillId="12" borderId="2" xfId="0" applyFont="1" applyFill="1" applyBorder="1" applyAlignment="1" applyProtection="1">
      <alignment horizontal="right" vertical="center"/>
    </xf>
    <xf numFmtId="0" fontId="13" fillId="12" borderId="3" xfId="0" applyFont="1" applyFill="1" applyBorder="1" applyAlignment="1" applyProtection="1">
      <alignment horizontal="right" vertical="center"/>
    </xf>
    <xf numFmtId="0" fontId="13" fillId="12" borderId="5" xfId="0" applyFont="1" applyFill="1" applyBorder="1" applyAlignment="1" applyProtection="1">
      <alignment horizontal="right" vertical="center"/>
    </xf>
    <xf numFmtId="0" fontId="13" fillId="12" borderId="0" xfId="0" applyFont="1" applyFill="1" applyBorder="1" applyAlignment="1" applyProtection="1">
      <alignment horizontal="right" vertical="center"/>
    </xf>
    <xf numFmtId="0" fontId="13" fillId="12" borderId="7" xfId="0" applyFont="1" applyFill="1" applyBorder="1" applyAlignment="1" applyProtection="1">
      <alignment horizontal="right" vertical="center"/>
    </xf>
    <xf numFmtId="0" fontId="13" fillId="12" borderId="8" xfId="0" applyFont="1" applyFill="1" applyBorder="1" applyAlignment="1" applyProtection="1">
      <alignment horizontal="right" vertical="center"/>
    </xf>
    <xf numFmtId="0" fontId="0" fillId="7" borderId="61" xfId="2" applyNumberFormat="1" applyFont="1" applyFill="1" applyBorder="1" applyAlignment="1" applyProtection="1">
      <alignment horizontal="center" vertical="center"/>
      <protection locked="0"/>
    </xf>
    <xf numFmtId="0" fontId="0" fillId="7" borderId="62" xfId="2" applyNumberFormat="1" applyFont="1" applyFill="1" applyBorder="1" applyAlignment="1" applyProtection="1">
      <alignment horizontal="center" vertical="center"/>
      <protection locked="0"/>
    </xf>
    <xf numFmtId="0" fontId="0" fillId="7" borderId="72" xfId="2" applyNumberFormat="1" applyFont="1" applyFill="1" applyBorder="1" applyAlignment="1" applyProtection="1">
      <alignment horizontal="center" vertical="center"/>
      <protection locked="0"/>
    </xf>
    <xf numFmtId="0" fontId="0" fillId="7" borderId="30" xfId="2" applyNumberFormat="1" applyFont="1" applyFill="1" applyBorder="1" applyAlignment="1" applyProtection="1">
      <alignment horizontal="center" vertical="center"/>
      <protection locked="0"/>
    </xf>
    <xf numFmtId="0" fontId="0" fillId="7" borderId="31" xfId="2" applyNumberFormat="1" applyFont="1" applyFill="1" applyBorder="1" applyAlignment="1" applyProtection="1">
      <alignment horizontal="center" vertical="center"/>
      <protection locked="0"/>
    </xf>
    <xf numFmtId="0" fontId="0" fillId="7" borderId="44" xfId="2" applyNumberFormat="1" applyFont="1" applyFill="1" applyBorder="1" applyAlignment="1" applyProtection="1">
      <alignment horizontal="center" vertical="center"/>
      <protection locked="0"/>
    </xf>
    <xf numFmtId="0" fontId="0" fillId="7" borderId="94" xfId="2" applyNumberFormat="1" applyFont="1" applyFill="1" applyBorder="1" applyAlignment="1" applyProtection="1">
      <alignment horizontal="center" vertical="center"/>
      <protection locked="0"/>
    </xf>
    <xf numFmtId="0" fontId="0" fillId="7" borderId="8" xfId="2" applyNumberFormat="1" applyFont="1" applyFill="1" applyBorder="1" applyAlignment="1" applyProtection="1">
      <alignment horizontal="center" vertical="center"/>
      <protection locked="0"/>
    </xf>
    <xf numFmtId="0" fontId="0" fillId="7" borderId="9" xfId="2" applyNumberFormat="1" applyFont="1" applyFill="1" applyBorder="1" applyAlignment="1" applyProtection="1">
      <alignment horizontal="center" vertical="center"/>
      <protection locked="0"/>
    </xf>
    <xf numFmtId="0" fontId="37" fillId="15" borderId="0" xfId="0" applyFont="1" applyFill="1" applyBorder="1" applyAlignment="1" applyProtection="1">
      <alignment horizontal="center"/>
    </xf>
    <xf numFmtId="0" fontId="0" fillId="9" borderId="0" xfId="0" applyFont="1" applyFill="1" applyBorder="1" applyAlignment="1" applyProtection="1">
      <alignment horizontal="center" vertical="top" wrapText="1"/>
    </xf>
    <xf numFmtId="0" fontId="1" fillId="9" borderId="0" xfId="0" applyFont="1" applyFill="1" applyBorder="1" applyAlignment="1" applyProtection="1">
      <alignment horizontal="center" vertical="top" wrapText="1"/>
    </xf>
    <xf numFmtId="0" fontId="2" fillId="3" borderId="40" xfId="0" applyFont="1" applyFill="1" applyBorder="1" applyAlignment="1" applyProtection="1">
      <alignment horizontal="center" vertical="center"/>
    </xf>
    <xf numFmtId="0" fontId="2" fillId="3" borderId="41" xfId="0" applyFont="1" applyFill="1" applyBorder="1" applyAlignment="1" applyProtection="1">
      <alignment horizontal="center" vertical="center"/>
    </xf>
    <xf numFmtId="0" fontId="2" fillId="3" borderId="42" xfId="0" applyFont="1" applyFill="1" applyBorder="1" applyAlignment="1" applyProtection="1">
      <alignment horizontal="center" vertical="center"/>
    </xf>
    <xf numFmtId="0" fontId="31" fillId="3" borderId="0" xfId="0" applyFont="1" applyFill="1" applyBorder="1" applyAlignment="1" applyProtection="1">
      <alignment horizontal="left" vertical="top" wrapText="1"/>
    </xf>
    <xf numFmtId="0" fontId="31" fillId="3" borderId="5" xfId="0" applyFont="1" applyFill="1" applyBorder="1" applyAlignment="1" applyProtection="1">
      <alignment horizontal="right" vertical="top"/>
    </xf>
    <xf numFmtId="0" fontId="31" fillId="3" borderId="0" xfId="0" applyFont="1" applyFill="1" applyBorder="1" applyAlignment="1" applyProtection="1">
      <alignment horizontal="right" vertical="top"/>
    </xf>
    <xf numFmtId="0" fontId="4" fillId="3" borderId="5" xfId="0" applyNumberFormat="1" applyFont="1" applyFill="1" applyBorder="1" applyAlignment="1" applyProtection="1">
      <alignment horizontal="right" vertical="center"/>
    </xf>
    <xf numFmtId="0" fontId="4" fillId="3" borderId="0" xfId="0" applyNumberFormat="1" applyFont="1" applyFill="1" applyBorder="1" applyAlignment="1" applyProtection="1">
      <alignment horizontal="right" vertical="center"/>
    </xf>
    <xf numFmtId="0" fontId="81" fillId="4" borderId="5" xfId="0" applyNumberFormat="1" applyFont="1" applyFill="1" applyBorder="1" applyAlignment="1" applyProtection="1">
      <alignment horizontal="right" vertical="center"/>
    </xf>
    <xf numFmtId="0" fontId="4" fillId="4" borderId="0" xfId="0" applyNumberFormat="1" applyFont="1" applyFill="1" applyBorder="1" applyAlignment="1" applyProtection="1">
      <alignment horizontal="right" vertical="center"/>
    </xf>
    <xf numFmtId="0" fontId="4" fillId="3" borderId="5" xfId="0" applyFont="1" applyFill="1" applyBorder="1" applyAlignment="1" applyProtection="1">
      <alignment horizontal="right" vertical="center"/>
    </xf>
    <xf numFmtId="0" fontId="4" fillId="3" borderId="0" xfId="0" applyFont="1" applyFill="1" applyBorder="1" applyAlignment="1" applyProtection="1">
      <alignment horizontal="right" vertical="center"/>
    </xf>
    <xf numFmtId="0" fontId="0" fillId="4" borderId="5" xfId="0" applyFont="1" applyFill="1" applyBorder="1" applyAlignment="1" applyProtection="1">
      <alignment horizontal="right" vertical="center" wrapText="1"/>
    </xf>
    <xf numFmtId="0" fontId="0" fillId="4" borderId="0" xfId="0" applyFont="1" applyFill="1" applyBorder="1" applyAlignment="1" applyProtection="1">
      <alignment horizontal="right" vertical="center" wrapText="1"/>
    </xf>
    <xf numFmtId="0" fontId="0" fillId="4" borderId="5" xfId="0" applyFont="1" applyFill="1" applyBorder="1" applyAlignment="1" applyProtection="1">
      <alignment horizontal="right" wrapText="1"/>
    </xf>
    <xf numFmtId="0" fontId="1" fillId="4" borderId="0" xfId="0" applyFont="1" applyFill="1" applyBorder="1" applyAlignment="1" applyProtection="1">
      <alignment horizontal="right" wrapText="1"/>
    </xf>
    <xf numFmtId="0" fontId="64" fillId="8" borderId="68" xfId="0" applyFont="1" applyFill="1" applyBorder="1" applyAlignment="1" applyProtection="1">
      <alignment horizontal="center" vertical="center"/>
    </xf>
    <xf numFmtId="0" fontId="64" fillId="8" borderId="78" xfId="0" applyFont="1" applyFill="1" applyBorder="1" applyAlignment="1" applyProtection="1">
      <alignment horizontal="center" vertical="center"/>
    </xf>
    <xf numFmtId="0" fontId="64" fillId="4" borderId="68" xfId="0" applyFont="1" applyFill="1" applyBorder="1" applyAlignment="1" applyProtection="1">
      <alignment horizontal="center" vertical="center"/>
    </xf>
    <xf numFmtId="0" fontId="64" fillId="4" borderId="78" xfId="0" applyFont="1" applyFill="1" applyBorder="1" applyAlignment="1" applyProtection="1">
      <alignment horizontal="center" vertical="center"/>
    </xf>
    <xf numFmtId="0" fontId="13" fillId="3" borderId="5" xfId="0" applyFont="1" applyFill="1" applyBorder="1" applyAlignment="1" applyProtection="1">
      <alignment horizontal="right"/>
    </xf>
    <xf numFmtId="0" fontId="13" fillId="3" borderId="0" xfId="0" applyFont="1" applyFill="1" applyBorder="1" applyAlignment="1" applyProtection="1">
      <alignment horizontal="right"/>
    </xf>
    <xf numFmtId="0" fontId="31" fillId="3" borderId="5" xfId="0" applyFont="1" applyFill="1" applyBorder="1" applyAlignment="1" applyProtection="1">
      <alignment horizontal="right"/>
    </xf>
    <xf numFmtId="0" fontId="31" fillId="3" borderId="0" xfId="0" applyFont="1" applyFill="1" applyBorder="1" applyAlignment="1" applyProtection="1">
      <alignment horizontal="right"/>
    </xf>
    <xf numFmtId="0" fontId="31" fillId="3" borderId="5" xfId="0" applyFont="1" applyFill="1" applyBorder="1" applyAlignment="1" applyProtection="1">
      <alignment horizontal="right" vertical="top"/>
      <protection locked="0"/>
    </xf>
    <xf numFmtId="0" fontId="31" fillId="3" borderId="0" xfId="0" applyFont="1" applyFill="1" applyBorder="1" applyAlignment="1" applyProtection="1">
      <alignment horizontal="right" vertical="top"/>
      <protection locked="0"/>
    </xf>
    <xf numFmtId="0" fontId="4" fillId="4" borderId="5" xfId="0" applyNumberFormat="1" applyFont="1" applyFill="1" applyBorder="1" applyAlignment="1" applyProtection="1">
      <alignment horizontal="right" vertical="center"/>
    </xf>
    <xf numFmtId="0" fontId="51" fillId="4" borderId="7" xfId="0" applyFont="1" applyFill="1" applyBorder="1" applyAlignment="1" applyProtection="1">
      <alignment horizontal="right" vertical="center" wrapText="1"/>
    </xf>
    <xf numFmtId="0" fontId="51" fillId="4" borderId="8" xfId="0" applyFont="1" applyFill="1" applyBorder="1" applyAlignment="1" applyProtection="1">
      <alignment horizontal="right" vertical="center" wrapText="1"/>
    </xf>
    <xf numFmtId="0" fontId="79" fillId="4" borderId="0" xfId="0" applyNumberFormat="1" applyFont="1" applyFill="1" applyBorder="1" applyAlignment="1" applyProtection="1">
      <alignment horizontal="right"/>
    </xf>
    <xf numFmtId="0" fontId="0" fillId="7" borderId="57" xfId="2" applyNumberFormat="1" applyFont="1" applyFill="1" applyBorder="1" applyAlignment="1" applyProtection="1">
      <alignment horizontal="center" vertical="center"/>
      <protection locked="0"/>
    </xf>
    <xf numFmtId="0" fontId="0" fillId="7" borderId="85" xfId="2" applyNumberFormat="1" applyFont="1" applyFill="1" applyBorder="1" applyAlignment="1" applyProtection="1">
      <alignment horizontal="center" vertical="center"/>
      <protection locked="0"/>
    </xf>
    <xf numFmtId="172" fontId="0" fillId="7" borderId="65" xfId="2" applyNumberFormat="1" applyFont="1" applyFill="1" applyBorder="1" applyAlignment="1" applyProtection="1">
      <alignment horizontal="center" vertical="center"/>
      <protection locked="0"/>
    </xf>
    <xf numFmtId="172" fontId="0" fillId="7" borderId="66" xfId="2" applyNumberFormat="1" applyFont="1" applyFill="1" applyBorder="1" applyAlignment="1" applyProtection="1">
      <alignment horizontal="center" vertical="center"/>
      <protection locked="0"/>
    </xf>
    <xf numFmtId="0" fontId="31" fillId="12" borderId="0" xfId="0" applyFont="1" applyFill="1" applyBorder="1" applyAlignment="1" applyProtection="1">
      <alignment horizontal="right" vertical="center" wrapText="1"/>
    </xf>
    <xf numFmtId="0" fontId="92" fillId="12" borderId="0" xfId="0" applyFont="1" applyFill="1" applyBorder="1" applyAlignment="1" applyProtection="1">
      <alignment horizontal="center" wrapText="1"/>
    </xf>
    <xf numFmtId="0" fontId="64" fillId="4" borderId="67" xfId="0" applyFont="1" applyFill="1" applyBorder="1" applyAlignment="1" applyProtection="1">
      <alignment horizontal="center" vertical="center"/>
    </xf>
    <xf numFmtId="0" fontId="13" fillId="3" borderId="2" xfId="0" applyFont="1" applyFill="1" applyBorder="1" applyAlignment="1" applyProtection="1">
      <alignment horizontal="right" vertical="center"/>
    </xf>
    <xf numFmtId="0" fontId="13" fillId="3" borderId="86" xfId="0" applyFont="1" applyFill="1" applyBorder="1" applyAlignment="1" applyProtection="1">
      <alignment horizontal="right" vertical="center"/>
    </xf>
    <xf numFmtId="0" fontId="1" fillId="3" borderId="32" xfId="2" applyNumberFormat="1" applyFont="1" applyFill="1" applyBorder="1" applyAlignment="1" applyProtection="1">
      <alignment horizontal="center" vertical="center"/>
    </xf>
    <xf numFmtId="0" fontId="1" fillId="3" borderId="57" xfId="2" applyNumberFormat="1" applyFont="1" applyFill="1" applyBorder="1" applyAlignment="1" applyProtection="1">
      <alignment horizontal="center" vertical="center"/>
    </xf>
    <xf numFmtId="0" fontId="1" fillId="3" borderId="85" xfId="2" applyNumberFormat="1" applyFont="1" applyFill="1" applyBorder="1" applyAlignment="1" applyProtection="1">
      <alignment horizontal="center" vertical="center"/>
    </xf>
    <xf numFmtId="0" fontId="13" fillId="3" borderId="7" xfId="0" applyFont="1" applyFill="1" applyBorder="1" applyAlignment="1" applyProtection="1">
      <alignment horizontal="right" vertical="center"/>
    </xf>
    <xf numFmtId="0" fontId="13" fillId="3" borderId="87" xfId="0" applyFont="1" applyFill="1" applyBorder="1" applyAlignment="1" applyProtection="1">
      <alignment horizontal="right" vertical="center"/>
    </xf>
    <xf numFmtId="172" fontId="1" fillId="3" borderId="70" xfId="2" applyNumberFormat="1" applyFont="1" applyFill="1" applyBorder="1" applyAlignment="1" applyProtection="1">
      <alignment horizontal="center"/>
    </xf>
    <xf numFmtId="172" fontId="1" fillId="3" borderId="65" xfId="2" applyNumberFormat="1" applyFont="1" applyFill="1" applyBorder="1" applyAlignment="1" applyProtection="1">
      <alignment horizontal="center"/>
    </xf>
    <xf numFmtId="172" fontId="1" fillId="3" borderId="66" xfId="2" applyNumberFormat="1" applyFont="1" applyFill="1" applyBorder="1" applyAlignment="1" applyProtection="1">
      <alignment horizontal="center"/>
    </xf>
    <xf numFmtId="0" fontId="8" fillId="12" borderId="84" xfId="0" applyFont="1" applyFill="1" applyBorder="1" applyAlignment="1" applyProtection="1">
      <alignment horizontal="center" wrapText="1"/>
    </xf>
    <xf numFmtId="0" fontId="38" fillId="3" borderId="64" xfId="0" applyFont="1" applyFill="1" applyBorder="1" applyAlignment="1" applyProtection="1">
      <alignment horizontal="center" vertical="center" wrapText="1"/>
    </xf>
    <xf numFmtId="0" fontId="38" fillId="3" borderId="57" xfId="0" applyFont="1" applyFill="1" applyBorder="1" applyAlignment="1" applyProtection="1">
      <alignment horizontal="center" vertical="center" wrapText="1"/>
    </xf>
    <xf numFmtId="0" fontId="31" fillId="3" borderId="0" xfId="0" applyFont="1" applyFill="1" applyBorder="1" applyAlignment="1" applyProtection="1">
      <alignment horizontal="center" vertical="top" wrapText="1"/>
    </xf>
    <xf numFmtId="0" fontId="4" fillId="8" borderId="67" xfId="0" applyFont="1" applyFill="1" applyBorder="1" applyAlignment="1" applyProtection="1">
      <alignment horizontal="center" vertical="center"/>
    </xf>
    <xf numFmtId="0" fontId="4" fillId="8" borderId="68" xfId="0" applyFont="1" applyFill="1" applyBorder="1" applyAlignment="1" applyProtection="1">
      <alignment horizontal="center" vertical="center"/>
    </xf>
    <xf numFmtId="0" fontId="4" fillId="8" borderId="78" xfId="0" applyFont="1" applyFill="1" applyBorder="1" applyAlignment="1" applyProtection="1">
      <alignment horizontal="center" vertical="center"/>
    </xf>
    <xf numFmtId="0" fontId="62" fillId="12" borderId="64" xfId="0" applyFont="1" applyFill="1" applyBorder="1" applyAlignment="1" applyProtection="1">
      <alignment horizontal="center" vertical="center" wrapText="1"/>
    </xf>
    <xf numFmtId="0" fontId="62" fillId="12" borderId="54" xfId="0" applyFont="1" applyFill="1" applyBorder="1" applyAlignment="1" applyProtection="1">
      <alignment horizontal="center" vertical="center" wrapText="1"/>
    </xf>
    <xf numFmtId="0" fontId="40" fillId="3" borderId="82" xfId="0" applyFont="1" applyFill="1" applyBorder="1" applyAlignment="1" applyProtection="1">
      <alignment horizontal="center" vertical="center" wrapText="1"/>
    </xf>
    <xf numFmtId="0" fontId="40" fillId="3" borderId="84" xfId="0" applyFont="1" applyFill="1" applyBorder="1" applyAlignment="1" applyProtection="1">
      <alignment horizontal="center" vertical="center" wrapText="1"/>
    </xf>
    <xf numFmtId="0" fontId="40" fillId="3" borderId="83" xfId="0" applyFont="1" applyFill="1" applyBorder="1" applyAlignment="1" applyProtection="1">
      <alignment horizontal="center" vertical="center" wrapText="1"/>
    </xf>
    <xf numFmtId="0" fontId="69" fillId="12" borderId="25" xfId="0" applyFont="1" applyFill="1" applyBorder="1" applyAlignment="1" applyProtection="1">
      <alignment horizontal="center" vertical="center"/>
    </xf>
    <xf numFmtId="0" fontId="69" fillId="12" borderId="26" xfId="0" applyFont="1" applyFill="1" applyBorder="1" applyAlignment="1" applyProtection="1">
      <alignment horizontal="center" vertical="center"/>
    </xf>
    <xf numFmtId="0" fontId="69" fillId="12" borderId="27" xfId="0" applyFont="1" applyFill="1" applyBorder="1" applyAlignment="1" applyProtection="1">
      <alignment horizontal="center" vertical="center"/>
    </xf>
    <xf numFmtId="0" fontId="62" fillId="3" borderId="0" xfId="0" applyFont="1" applyFill="1" applyBorder="1" applyAlignment="1" applyProtection="1">
      <alignment horizontal="left" vertical="top" wrapText="1"/>
    </xf>
    <xf numFmtId="0" fontId="62" fillId="12" borderId="64" xfId="0" applyFont="1" applyFill="1" applyBorder="1" applyAlignment="1" applyProtection="1">
      <alignment horizontal="center" wrapText="1"/>
    </xf>
    <xf numFmtId="0" fontId="62" fillId="12" borderId="54" xfId="0" applyFont="1" applyFill="1" applyBorder="1" applyAlignment="1" applyProtection="1">
      <alignment horizontal="center" wrapText="1"/>
    </xf>
    <xf numFmtId="0" fontId="85" fillId="12" borderId="0" xfId="4" applyFont="1" applyFill="1" applyBorder="1" applyAlignment="1" applyProtection="1">
      <alignment horizontal="center" vertical="center" wrapText="1"/>
    </xf>
    <xf numFmtId="0" fontId="5" fillId="3" borderId="0" xfId="0" applyFont="1" applyFill="1" applyBorder="1" applyAlignment="1" applyProtection="1">
      <alignment horizontal="center"/>
    </xf>
    <xf numFmtId="0" fontId="1" fillId="2" borderId="90" xfId="2" applyNumberFormat="1" applyFont="1" applyFill="1" applyBorder="1" applyAlignment="1" applyProtection="1">
      <alignment horizontal="center"/>
    </xf>
    <xf numFmtId="0" fontId="1" fillId="2" borderId="69" xfId="2" applyNumberFormat="1" applyFont="1" applyFill="1" applyBorder="1" applyAlignment="1" applyProtection="1">
      <alignment horizontal="center"/>
    </xf>
    <xf numFmtId="0" fontId="1" fillId="2" borderId="91" xfId="2" applyNumberFormat="1" applyFont="1" applyFill="1" applyBorder="1" applyAlignment="1" applyProtection="1">
      <alignment horizontal="center"/>
    </xf>
    <xf numFmtId="0" fontId="0" fillId="3" borderId="0" xfId="0" applyFill="1" applyBorder="1" applyAlignment="1" applyProtection="1">
      <alignment horizontal="center" wrapText="1"/>
    </xf>
    <xf numFmtId="0" fontId="1" fillId="4" borderId="71" xfId="2" applyNumberFormat="1" applyFont="1" applyFill="1" applyBorder="1" applyAlignment="1" applyProtection="1">
      <alignment horizontal="center"/>
    </xf>
    <xf numFmtId="0" fontId="1" fillId="4" borderId="62" xfId="2" applyNumberFormat="1" applyFont="1" applyFill="1" applyBorder="1" applyAlignment="1" applyProtection="1">
      <alignment horizontal="center"/>
    </xf>
    <xf numFmtId="0" fontId="1" fillId="4" borderId="72" xfId="2" applyNumberFormat="1" applyFont="1" applyFill="1" applyBorder="1" applyAlignment="1" applyProtection="1">
      <alignment horizontal="center"/>
    </xf>
    <xf numFmtId="172" fontId="1" fillId="2" borderId="90" xfId="2" applyNumberFormat="1" applyFont="1" applyFill="1" applyBorder="1" applyAlignment="1" applyProtection="1">
      <alignment horizontal="center"/>
    </xf>
    <xf numFmtId="172" fontId="1" fillId="2" borderId="69" xfId="2" applyNumberFormat="1" applyFont="1" applyFill="1" applyBorder="1" applyAlignment="1" applyProtection="1">
      <alignment horizontal="center"/>
    </xf>
    <xf numFmtId="172" fontId="1" fillId="2" borderId="91" xfId="2" applyNumberFormat="1" applyFont="1" applyFill="1" applyBorder="1" applyAlignment="1" applyProtection="1">
      <alignment horizontal="center"/>
    </xf>
    <xf numFmtId="0" fontId="47" fillId="2" borderId="26" xfId="0" applyFont="1" applyFill="1" applyBorder="1" applyAlignment="1">
      <alignment horizontal="center" wrapText="1"/>
    </xf>
    <xf numFmtId="0" fontId="47" fillId="2" borderId="31" xfId="0" applyFont="1" applyFill="1" applyBorder="1" applyAlignment="1">
      <alignment horizontal="center" wrapText="1"/>
    </xf>
    <xf numFmtId="0" fontId="18" fillId="2" borderId="0" xfId="0" applyFont="1" applyFill="1" applyBorder="1" applyAlignment="1">
      <alignment horizontal="center" vertical="center" wrapText="1"/>
    </xf>
    <xf numFmtId="0" fontId="18" fillId="2" borderId="0" xfId="0" applyFont="1" applyFill="1" applyBorder="1" applyAlignment="1">
      <alignment horizontal="right" vertical="center" wrapText="1" indent="1"/>
    </xf>
    <xf numFmtId="0" fontId="5" fillId="3" borderId="24" xfId="0" applyFont="1" applyFill="1" applyBorder="1" applyAlignment="1">
      <alignment horizontal="center"/>
    </xf>
    <xf numFmtId="0" fontId="0" fillId="3" borderId="24" xfId="0" applyFill="1" applyBorder="1" applyAlignment="1">
      <alignment horizontal="center"/>
    </xf>
    <xf numFmtId="0" fontId="31" fillId="12" borderId="31" xfId="0" applyFont="1" applyFill="1" applyBorder="1" applyAlignment="1" applyProtection="1">
      <alignment horizontal="center"/>
    </xf>
    <xf numFmtId="0" fontId="31" fillId="12" borderId="0" xfId="0" applyFont="1" applyFill="1" applyBorder="1" applyAlignment="1" applyProtection="1">
      <alignment horizontal="center"/>
    </xf>
    <xf numFmtId="0" fontId="29" fillId="12" borderId="5" xfId="0" applyFont="1" applyFill="1" applyBorder="1" applyAlignment="1" applyProtection="1">
      <alignment horizontal="center" wrapText="1"/>
    </xf>
    <xf numFmtId="0" fontId="29" fillId="12" borderId="0" xfId="0" applyFont="1" applyFill="1" applyBorder="1" applyAlignment="1" applyProtection="1">
      <alignment horizontal="center" wrapText="1"/>
    </xf>
    <xf numFmtId="0" fontId="29" fillId="12" borderId="6" xfId="0" applyFont="1" applyFill="1" applyBorder="1" applyAlignment="1" applyProtection="1">
      <alignment horizontal="center" wrapText="1"/>
    </xf>
    <xf numFmtId="0" fontId="0" fillId="12" borderId="0" xfId="0" applyFill="1" applyBorder="1" applyAlignment="1" applyProtection="1">
      <alignment horizontal="center" vertical="top" wrapText="1"/>
    </xf>
    <xf numFmtId="0" fontId="0" fillId="12" borderId="6" xfId="0" applyFill="1" applyBorder="1" applyAlignment="1" applyProtection="1">
      <alignment horizontal="center" vertical="top" wrapText="1"/>
    </xf>
    <xf numFmtId="0" fontId="2" fillId="12" borderId="2" xfId="0" applyFont="1" applyFill="1" applyBorder="1" applyAlignment="1" applyProtection="1">
      <alignment horizontal="left" vertical="top" wrapText="1"/>
    </xf>
    <xf numFmtId="0" fontId="2" fillId="12" borderId="3" xfId="0" applyFont="1" applyFill="1" applyBorder="1" applyAlignment="1" applyProtection="1">
      <alignment horizontal="left" vertical="top" wrapText="1"/>
    </xf>
    <xf numFmtId="0" fontId="2" fillId="12" borderId="4" xfId="0" applyFont="1" applyFill="1" applyBorder="1" applyAlignment="1" applyProtection="1">
      <alignment horizontal="left" vertical="top" wrapText="1"/>
    </xf>
    <xf numFmtId="0" fontId="2" fillId="12" borderId="5" xfId="0" applyFont="1" applyFill="1" applyBorder="1" applyAlignment="1" applyProtection="1">
      <alignment horizontal="left" vertical="top" wrapText="1"/>
    </xf>
    <xf numFmtId="0" fontId="2" fillId="12" borderId="0" xfId="0" applyFont="1" applyFill="1" applyBorder="1" applyAlignment="1" applyProtection="1">
      <alignment horizontal="left" vertical="top" wrapText="1"/>
    </xf>
    <xf numFmtId="0" fontId="2" fillId="12" borderId="6" xfId="0" applyFont="1" applyFill="1" applyBorder="1" applyAlignment="1" applyProtection="1">
      <alignment horizontal="left" vertical="top" wrapText="1"/>
    </xf>
    <xf numFmtId="0" fontId="2" fillId="12" borderId="7" xfId="0" applyFont="1" applyFill="1" applyBorder="1" applyAlignment="1" applyProtection="1">
      <alignment horizontal="left" vertical="top" wrapText="1"/>
    </xf>
    <xf numFmtId="0" fontId="2" fillId="12" borderId="8" xfId="0" applyFont="1" applyFill="1" applyBorder="1" applyAlignment="1" applyProtection="1">
      <alignment horizontal="left" vertical="top" wrapText="1"/>
    </xf>
    <xf numFmtId="0" fontId="2" fillId="12" borderId="9" xfId="0" applyFont="1" applyFill="1" applyBorder="1" applyAlignment="1" applyProtection="1">
      <alignment horizontal="left" vertical="top" wrapText="1"/>
    </xf>
    <xf numFmtId="6" fontId="21" fillId="2" borderId="0" xfId="0" applyNumberFormat="1" applyFont="1" applyFill="1" applyAlignment="1">
      <alignment horizontal="center"/>
    </xf>
    <xf numFmtId="0" fontId="42" fillId="0" borderId="0" xfId="0" applyFont="1" applyAlignment="1">
      <alignment horizontal="center"/>
    </xf>
    <xf numFmtId="0" fontId="42" fillId="7" borderId="0" xfId="0" applyFont="1" applyFill="1" applyAlignment="1">
      <alignment horizontal="center"/>
    </xf>
    <xf numFmtId="0" fontId="34" fillId="2" borderId="0" xfId="4" applyFont="1" applyFill="1" applyBorder="1" applyAlignment="1">
      <alignment horizontal="center"/>
    </xf>
    <xf numFmtId="0" fontId="18" fillId="2" borderId="0" xfId="0" applyFont="1" applyFill="1" applyBorder="1" applyAlignment="1">
      <alignment horizontal="center" wrapText="1"/>
    </xf>
    <xf numFmtId="0" fontId="0" fillId="0" borderId="0" xfId="0" applyAlignment="1"/>
    <xf numFmtId="0" fontId="0" fillId="3" borderId="0" xfId="0" applyFill="1" applyBorder="1" applyAlignment="1">
      <alignment horizontal="center" wrapText="1"/>
    </xf>
    <xf numFmtId="0" fontId="0" fillId="2" borderId="11" xfId="0" applyFill="1" applyBorder="1" applyAlignment="1">
      <alignment horizontal="center"/>
    </xf>
    <xf numFmtId="0" fontId="0" fillId="2" borderId="12" xfId="0" applyFill="1" applyBorder="1" applyAlignment="1">
      <alignment horizontal="center"/>
    </xf>
    <xf numFmtId="0" fontId="0" fillId="2" borderId="13" xfId="0" applyFill="1"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2" borderId="16" xfId="0" applyFill="1" applyBorder="1" applyAlignment="1">
      <alignment horizontal="center"/>
    </xf>
    <xf numFmtId="0" fontId="15" fillId="0" borderId="26" xfId="0" applyFont="1" applyBorder="1" applyAlignment="1">
      <alignment horizontal="center" wrapText="1"/>
    </xf>
  </cellXfs>
  <cellStyles count="6">
    <cellStyle name="Comma" xfId="5" builtinId="3"/>
    <cellStyle name="Currency" xfId="1" builtinId="4"/>
    <cellStyle name="Hyperlink" xfId="4" builtinId="8"/>
    <cellStyle name="Normal" xfId="0" builtinId="0"/>
    <cellStyle name="Normal 9" xfId="3" xr:uid="{00000000-0005-0000-0000-000004000000}"/>
    <cellStyle name="Percent" xfId="2" builtinId="5"/>
  </cellStyles>
  <dxfs count="53">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auto="1"/>
      </font>
      <fill>
        <patternFill>
          <bgColor rgb="FF00B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b/>
        <i val="0"/>
        <color rgb="FFFF0000"/>
      </font>
      <fill>
        <patternFill>
          <bgColor rgb="FFFFCCCC"/>
        </patternFill>
      </fill>
    </dxf>
    <dxf>
      <font>
        <b/>
        <i val="0"/>
        <color rgb="FF00B050"/>
      </font>
      <fill>
        <patternFill>
          <bgColor rgb="FFBAF8BD"/>
        </patternFill>
      </fill>
    </dxf>
    <dxf>
      <font>
        <b/>
        <i val="0"/>
        <color rgb="FFFF0000"/>
      </font>
      <fill>
        <patternFill>
          <bgColor rgb="FFFFCCCC"/>
        </patternFill>
      </fill>
    </dxf>
    <dxf>
      <font>
        <b/>
        <i val="0"/>
        <color rgb="FF00B050"/>
      </font>
      <fill>
        <patternFill>
          <bgColor rgb="FFBAF8BD"/>
        </patternFill>
      </fill>
    </dxf>
    <dxf>
      <font>
        <b/>
        <i val="0"/>
        <color rgb="FFFF0000"/>
      </font>
      <fill>
        <patternFill>
          <bgColor rgb="FFFFCCCC"/>
        </patternFill>
      </fill>
    </dxf>
    <dxf>
      <font>
        <b/>
        <i val="0"/>
        <color rgb="FF00B050"/>
      </font>
      <fill>
        <patternFill>
          <bgColor rgb="FFBAF8BD"/>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b/>
        <i val="0"/>
        <color rgb="FFFF0000"/>
      </font>
      <fill>
        <patternFill>
          <bgColor rgb="FFFFCCCC"/>
        </patternFill>
      </fill>
    </dxf>
    <dxf>
      <font>
        <b/>
        <i val="0"/>
        <color rgb="FF00B050"/>
      </font>
      <fill>
        <patternFill>
          <bgColor rgb="FFBAF8BD"/>
        </patternFill>
      </fill>
    </dxf>
    <dxf>
      <font>
        <b/>
        <i val="0"/>
        <color rgb="FFFF0000"/>
      </font>
      <fill>
        <patternFill>
          <bgColor rgb="FFFFCCCC"/>
        </patternFill>
      </fill>
    </dxf>
    <dxf>
      <font>
        <b/>
        <i val="0"/>
        <color rgb="FF00B050"/>
      </font>
      <fill>
        <patternFill>
          <bgColor rgb="FFBAF8BD"/>
        </patternFill>
      </fill>
    </dxf>
    <dxf>
      <font>
        <b/>
        <i val="0"/>
        <color rgb="FFFF0000"/>
      </font>
      <fill>
        <patternFill>
          <bgColor rgb="FFFFCCCC"/>
        </patternFill>
      </fill>
    </dxf>
    <dxf>
      <font>
        <b/>
        <i val="0"/>
        <color rgb="FF00B050"/>
      </font>
      <fill>
        <patternFill>
          <bgColor rgb="FFBAF8BD"/>
        </patternFill>
      </fill>
    </dxf>
    <dxf>
      <font>
        <b/>
        <i val="0"/>
        <color rgb="FF00B050"/>
      </font>
      <fill>
        <patternFill>
          <bgColor theme="6" tint="0.79998168889431442"/>
        </patternFill>
      </fill>
    </dxf>
    <dxf>
      <font>
        <b/>
        <i val="0"/>
        <color rgb="FFFF0000"/>
      </font>
      <fill>
        <patternFill>
          <bgColor rgb="FFFFCCCC"/>
        </patternFill>
      </fill>
    </dxf>
    <dxf>
      <font>
        <b/>
        <i val="0"/>
        <color rgb="FFFF0000"/>
      </font>
      <fill>
        <patternFill>
          <bgColor rgb="FFFFCCCC"/>
        </patternFill>
      </fill>
    </dxf>
    <dxf>
      <font>
        <b/>
        <i val="0"/>
        <color rgb="FFFF0000"/>
      </font>
    </dxf>
    <dxf>
      <font>
        <b/>
        <i val="0"/>
        <color rgb="FF00B050"/>
      </font>
    </dxf>
    <dxf>
      <font>
        <b/>
        <i val="0"/>
        <color rgb="FFFF0000"/>
      </font>
      <fill>
        <patternFill>
          <bgColor rgb="FFFFCCCC"/>
        </patternFill>
      </fill>
    </dxf>
    <dxf>
      <font>
        <b/>
        <i val="0"/>
        <color rgb="FF00B050"/>
      </font>
      <fill>
        <patternFill>
          <bgColor theme="6" tint="0.59996337778862885"/>
        </patternFill>
      </fill>
    </dxf>
    <dxf>
      <font>
        <color rgb="FFFF0000"/>
      </font>
    </dxf>
    <dxf>
      <font>
        <color rgb="FFFF0000"/>
      </font>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66CCFF"/>
      <color rgb="FF66FFFF"/>
      <color rgb="FFCCECFF"/>
      <color rgb="FFFFCCCC"/>
      <color rgb="FFFF9999"/>
      <color rgb="FFD5F1F0"/>
      <color rgb="FF0099CC"/>
      <color rgb="FFBAF8BD"/>
      <color rgb="FFCC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1.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2.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3.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3.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24.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25.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6.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7.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8.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9.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eTool Data Results:</a:t>
            </a:r>
            <a:r>
              <a:rPr lang="en-US" sz="1400" baseline="0"/>
              <a:t> </a:t>
            </a:r>
            <a:r>
              <a:rPr lang="en-US" sz="1400"/>
              <a:t>Components of Minimum Required Balance Test </a:t>
            </a:r>
          </a:p>
          <a:p>
            <a:pPr>
              <a:defRPr sz="1400"/>
            </a:pPr>
            <a:r>
              <a:rPr lang="en-US" sz="1400"/>
              <a:t>RfR Balance, </a:t>
            </a:r>
            <a:r>
              <a:rPr lang="en-US" sz="1400" baseline="0"/>
              <a:t>Estimate Period Average Inflated Required Minimum Balance and Margin Exceeding the Required Minimum Balance</a:t>
            </a:r>
          </a:p>
        </c:rich>
      </c:tx>
      <c:layout>
        <c:manualLayout>
          <c:xMode val="edge"/>
          <c:yMode val="edge"/>
          <c:x val="0.13341805516627969"/>
          <c:y val="6.7476383265856948E-2"/>
        </c:manualLayout>
      </c:layout>
      <c:overlay val="1"/>
    </c:title>
    <c:autoTitleDeleted val="0"/>
    <c:plotArea>
      <c:layout>
        <c:manualLayout>
          <c:layoutTarget val="inner"/>
          <c:xMode val="edge"/>
          <c:yMode val="edge"/>
          <c:x val="0.13853386383498717"/>
          <c:y val="0.26862009595739339"/>
          <c:w val="0.79954732349163093"/>
          <c:h val="0.63399738298018948"/>
        </c:manualLayout>
      </c:layout>
      <c:lineChart>
        <c:grouping val="standard"/>
        <c:varyColors val="0"/>
        <c:ser>
          <c:idx val="0"/>
          <c:order val="0"/>
          <c:tx>
            <c:strRef>
              <c:f>'eTool Data'!$E$8</c:f>
              <c:strCache>
                <c:ptCount val="1"/>
                <c:pt idx="0">
                  <c:v>Ending Balance</c:v>
                </c:pt>
              </c:strCache>
            </c:strRef>
          </c:tx>
          <c:marker>
            <c:symbol val="none"/>
          </c:marker>
          <c:cat>
            <c:strRef>
              <c:f>'eTool Data'!$F$2:$Y$2</c:f>
              <c:strCache>
                <c:ptCount val="20"/>
                <c:pt idx="0">
                  <c:v>Year 01</c:v>
                </c:pt>
                <c:pt idx="1">
                  <c:v>Year 02</c:v>
                </c:pt>
                <c:pt idx="2">
                  <c:v>Year 03</c:v>
                </c:pt>
                <c:pt idx="3">
                  <c:v>Year 04</c:v>
                </c:pt>
                <c:pt idx="4">
                  <c:v>Year 05</c:v>
                </c:pt>
                <c:pt idx="5">
                  <c:v>Year 06</c:v>
                </c:pt>
                <c:pt idx="6">
                  <c:v>Year 07</c:v>
                </c:pt>
                <c:pt idx="7">
                  <c:v>Year 08</c:v>
                </c:pt>
                <c:pt idx="8">
                  <c:v>Year 09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strCache>
            </c:strRef>
          </c:cat>
          <c:val>
            <c:numRef>
              <c:f>'eTool Data'!$F$8:$Y$8</c:f>
              <c:numCache>
                <c:formatCode>"$"#,##0_);[Red]\("$"#,##0\)</c:formatCode>
                <c:ptCount val="20"/>
                <c:pt idx="0">
                  <c:v>221800</c:v>
                </c:pt>
                <c:pt idx="1">
                  <c:v>230232</c:v>
                </c:pt>
                <c:pt idx="2">
                  <c:v>177388</c:v>
                </c:pt>
                <c:pt idx="3">
                  <c:v>152219</c:v>
                </c:pt>
                <c:pt idx="4">
                  <c:v>124373</c:v>
                </c:pt>
                <c:pt idx="5">
                  <c:v>99258</c:v>
                </c:pt>
                <c:pt idx="6">
                  <c:v>102679</c:v>
                </c:pt>
                <c:pt idx="7">
                  <c:v>82736</c:v>
                </c:pt>
                <c:pt idx="8">
                  <c:v>76930</c:v>
                </c:pt>
                <c:pt idx="9">
                  <c:v>71502</c:v>
                </c:pt>
                <c:pt idx="10">
                  <c:v>-36983</c:v>
                </c:pt>
                <c:pt idx="11">
                  <c:v>-141040</c:v>
                </c:pt>
                <c:pt idx="12">
                  <c:v>-171836</c:v>
                </c:pt>
                <c:pt idx="13">
                  <c:v>-215985</c:v>
                </c:pt>
                <c:pt idx="14">
                  <c:v>-307889</c:v>
                </c:pt>
                <c:pt idx="15">
                  <c:v>-295095</c:v>
                </c:pt>
                <c:pt idx="16">
                  <c:v>-267914</c:v>
                </c:pt>
                <c:pt idx="17">
                  <c:v>-284016</c:v>
                </c:pt>
                <c:pt idx="18">
                  <c:v>-292605</c:v>
                </c:pt>
                <c:pt idx="19">
                  <c:v>-560246</c:v>
                </c:pt>
              </c:numCache>
            </c:numRef>
          </c:val>
          <c:smooth val="0"/>
          <c:extLst xmlns:c15="http://schemas.microsoft.com/office/drawing/2012/chart">
            <c:ext xmlns:c16="http://schemas.microsoft.com/office/drawing/2014/chart" uri="{C3380CC4-5D6E-409C-BE32-E72D297353CC}">
              <c16:uniqueId val="{00000003-C7AF-4A69-8E5B-914636C95321}"/>
            </c:ext>
          </c:extLst>
        </c:ser>
        <c:ser>
          <c:idx val="1"/>
          <c:order val="1"/>
          <c:tx>
            <c:strRef>
              <c:f>'eTool Data'!$E$9</c:f>
              <c:strCache>
                <c:ptCount val="1"/>
                <c:pt idx="0">
                  <c:v>Required Minimum Balance</c:v>
                </c:pt>
              </c:strCache>
            </c:strRef>
          </c:tx>
          <c:spPr>
            <a:ln>
              <a:solidFill>
                <a:srgbClr val="92D050"/>
              </a:solidFill>
            </a:ln>
          </c:spPr>
          <c:marker>
            <c:symbol val="none"/>
          </c:marker>
          <c:cat>
            <c:strRef>
              <c:f>'eTool Data'!$F$2:$Y$2</c:f>
              <c:strCache>
                <c:ptCount val="20"/>
                <c:pt idx="0">
                  <c:v>Year 01</c:v>
                </c:pt>
                <c:pt idx="1">
                  <c:v>Year 02</c:v>
                </c:pt>
                <c:pt idx="2">
                  <c:v>Year 03</c:v>
                </c:pt>
                <c:pt idx="3">
                  <c:v>Year 04</c:v>
                </c:pt>
                <c:pt idx="4">
                  <c:v>Year 05</c:v>
                </c:pt>
                <c:pt idx="5">
                  <c:v>Year 06</c:v>
                </c:pt>
                <c:pt idx="6">
                  <c:v>Year 07</c:v>
                </c:pt>
                <c:pt idx="7">
                  <c:v>Year 08</c:v>
                </c:pt>
                <c:pt idx="8">
                  <c:v>Year 09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strCache>
            </c:strRef>
          </c:cat>
          <c:val>
            <c:numRef>
              <c:f>'eTool Data'!$F$9:$Y$9</c:f>
              <c:numCache>
                <c:formatCode>"$"#,##0_);[Red]\("$"#,##0\)</c:formatCode>
                <c:ptCount val="20"/>
                <c:pt idx="0">
                  <c:v>50151</c:v>
                </c:pt>
                <c:pt idx="1">
                  <c:v>51154</c:v>
                </c:pt>
                <c:pt idx="2">
                  <c:v>52177</c:v>
                </c:pt>
                <c:pt idx="3">
                  <c:v>53220</c:v>
                </c:pt>
                <c:pt idx="4">
                  <c:v>54285</c:v>
                </c:pt>
                <c:pt idx="5">
                  <c:v>55370</c:v>
                </c:pt>
                <c:pt idx="6">
                  <c:v>56478</c:v>
                </c:pt>
                <c:pt idx="7">
                  <c:v>57607</c:v>
                </c:pt>
                <c:pt idx="8">
                  <c:v>58760</c:v>
                </c:pt>
                <c:pt idx="9">
                  <c:v>59935</c:v>
                </c:pt>
                <c:pt idx="10">
                  <c:v>61133</c:v>
                </c:pt>
                <c:pt idx="11">
                  <c:v>62356</c:v>
                </c:pt>
                <c:pt idx="12">
                  <c:v>63603</c:v>
                </c:pt>
                <c:pt idx="13">
                  <c:v>64875</c:v>
                </c:pt>
                <c:pt idx="14">
                  <c:v>66173</c:v>
                </c:pt>
                <c:pt idx="15">
                  <c:v>67496</c:v>
                </c:pt>
                <c:pt idx="16">
                  <c:v>68846</c:v>
                </c:pt>
                <c:pt idx="17">
                  <c:v>70223</c:v>
                </c:pt>
                <c:pt idx="18">
                  <c:v>71628</c:v>
                </c:pt>
                <c:pt idx="19">
                  <c:v>73060</c:v>
                </c:pt>
              </c:numCache>
            </c:numRef>
          </c:val>
          <c:smooth val="0"/>
          <c:extLst>
            <c:ext xmlns:c16="http://schemas.microsoft.com/office/drawing/2014/chart" uri="{C3380CC4-5D6E-409C-BE32-E72D297353CC}">
              <c16:uniqueId val="{00000000-C7AF-4A69-8E5B-914636C95321}"/>
            </c:ext>
          </c:extLst>
        </c:ser>
        <c:ser>
          <c:idx val="2"/>
          <c:order val="2"/>
          <c:tx>
            <c:strRef>
              <c:f>'eTool Data Engine'!$E$19</c:f>
              <c:strCache>
                <c:ptCount val="1"/>
                <c:pt idx="0">
                  <c:v>e-Tool data Total to Offset (Ending Bal. minus Req. Min.)</c:v>
                </c:pt>
              </c:strCache>
            </c:strRef>
          </c:tx>
          <c:marker>
            <c:symbol val="none"/>
          </c:marker>
          <c:cat>
            <c:strRef>
              <c:f>'eTool Data'!$F$2:$Y$2</c:f>
              <c:strCache>
                <c:ptCount val="20"/>
                <c:pt idx="0">
                  <c:v>Year 01</c:v>
                </c:pt>
                <c:pt idx="1">
                  <c:v>Year 02</c:v>
                </c:pt>
                <c:pt idx="2">
                  <c:v>Year 03</c:v>
                </c:pt>
                <c:pt idx="3">
                  <c:v>Year 04</c:v>
                </c:pt>
                <c:pt idx="4">
                  <c:v>Year 05</c:v>
                </c:pt>
                <c:pt idx="5">
                  <c:v>Year 06</c:v>
                </c:pt>
                <c:pt idx="6">
                  <c:v>Year 07</c:v>
                </c:pt>
                <c:pt idx="7">
                  <c:v>Year 08</c:v>
                </c:pt>
                <c:pt idx="8">
                  <c:v>Year 09</c:v>
                </c:pt>
                <c:pt idx="9">
                  <c:v>Year 10</c:v>
                </c:pt>
                <c:pt idx="10">
                  <c:v>Year 11</c:v>
                </c:pt>
                <c:pt idx="11">
                  <c:v>Year 12</c:v>
                </c:pt>
                <c:pt idx="12">
                  <c:v>Year 13</c:v>
                </c:pt>
                <c:pt idx="13">
                  <c:v>Year 14</c:v>
                </c:pt>
                <c:pt idx="14">
                  <c:v>Year 15</c:v>
                </c:pt>
                <c:pt idx="15">
                  <c:v>Year 16</c:v>
                </c:pt>
                <c:pt idx="16">
                  <c:v>Year 17</c:v>
                </c:pt>
                <c:pt idx="17">
                  <c:v>Year 18</c:v>
                </c:pt>
                <c:pt idx="18">
                  <c:v>Year 19</c:v>
                </c:pt>
                <c:pt idx="19">
                  <c:v>Year 20</c:v>
                </c:pt>
              </c:strCache>
            </c:strRef>
          </c:cat>
          <c:val>
            <c:numRef>
              <c:f>'eTool Data Engine'!$F$19:$Y$19</c:f>
              <c:numCache>
                <c:formatCode>"$"#,##0_);[Red]\("$"#,##0\)</c:formatCode>
                <c:ptCount val="20"/>
                <c:pt idx="0">
                  <c:v>171649</c:v>
                </c:pt>
                <c:pt idx="1">
                  <c:v>179078</c:v>
                </c:pt>
                <c:pt idx="2">
                  <c:v>125211</c:v>
                </c:pt>
                <c:pt idx="3">
                  <c:v>98999</c:v>
                </c:pt>
                <c:pt idx="4">
                  <c:v>70088</c:v>
                </c:pt>
                <c:pt idx="5">
                  <c:v>43888</c:v>
                </c:pt>
                <c:pt idx="6">
                  <c:v>46201</c:v>
                </c:pt>
                <c:pt idx="7">
                  <c:v>25129</c:v>
                </c:pt>
                <c:pt idx="8">
                  <c:v>18170</c:v>
                </c:pt>
                <c:pt idx="9">
                  <c:v>11567</c:v>
                </c:pt>
                <c:pt idx="10">
                  <c:v>-98116</c:v>
                </c:pt>
                <c:pt idx="11">
                  <c:v>-203396</c:v>
                </c:pt>
                <c:pt idx="12">
                  <c:v>-235439</c:v>
                </c:pt>
                <c:pt idx="13">
                  <c:v>-280860</c:v>
                </c:pt>
                <c:pt idx="14">
                  <c:v>-374062</c:v>
                </c:pt>
                <c:pt idx="15">
                  <c:v>-362591</c:v>
                </c:pt>
                <c:pt idx="16">
                  <c:v>-336760</c:v>
                </c:pt>
                <c:pt idx="17">
                  <c:v>-354239</c:v>
                </c:pt>
                <c:pt idx="18">
                  <c:v>-364233</c:v>
                </c:pt>
                <c:pt idx="19">
                  <c:v>-633306</c:v>
                </c:pt>
              </c:numCache>
            </c:numRef>
          </c:val>
          <c:smooth val="0"/>
          <c:extLst>
            <c:ext xmlns:c16="http://schemas.microsoft.com/office/drawing/2014/chart" uri="{C3380CC4-5D6E-409C-BE32-E72D297353CC}">
              <c16:uniqueId val="{00000000-2125-4390-9ACB-18596E675C89}"/>
            </c:ext>
          </c:extLst>
        </c:ser>
        <c:dLbls>
          <c:showLegendKey val="0"/>
          <c:showVal val="0"/>
          <c:showCatName val="0"/>
          <c:showSerName val="0"/>
          <c:showPercent val="0"/>
          <c:showBubbleSize val="0"/>
        </c:dLbls>
        <c:smooth val="0"/>
        <c:axId val="93602944"/>
        <c:axId val="93604864"/>
        <c:extLst/>
      </c:lineChart>
      <c:catAx>
        <c:axId val="93602944"/>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93604864"/>
        <c:crosses val="autoZero"/>
        <c:auto val="1"/>
        <c:lblAlgn val="ctr"/>
        <c:lblOffset val="100"/>
        <c:noMultiLvlLbl val="0"/>
      </c:catAx>
      <c:valAx>
        <c:axId val="93604864"/>
        <c:scaling>
          <c:orientation val="minMax"/>
        </c:scaling>
        <c:delete val="0"/>
        <c:axPos val="l"/>
        <c:majorGridlines/>
        <c:numFmt formatCode="&quot;$&quot;#,##0_);[Red]\(&quot;$&quot;#,##0\)" sourceLinked="0"/>
        <c:majorTickMark val="out"/>
        <c:minorTickMark val="none"/>
        <c:tickLblPos val="nextTo"/>
        <c:crossAx val="93602944"/>
        <c:crosses val="autoZero"/>
        <c:crossBetween val="between"/>
      </c:valAx>
    </c:plotArea>
    <c:legend>
      <c:legendPos val="r"/>
      <c:layout>
        <c:manualLayout>
          <c:xMode val="edge"/>
          <c:yMode val="edge"/>
          <c:x val="0.16352472648839686"/>
          <c:y val="0.70491516576856594"/>
          <c:w val="0.51980198019801982"/>
          <c:h val="0.18768436797107652"/>
        </c:manualLayout>
      </c:layout>
      <c:overlay val="0"/>
      <c:spPr>
        <a:solidFill>
          <a:schemeClr val="accent1">
            <a:lumMod val="20000"/>
            <a:lumOff val="80000"/>
          </a:schemeClr>
        </a:solidFill>
        <a:ln>
          <a:solidFill>
            <a:schemeClr val="tx1"/>
          </a:solidFill>
        </a:ln>
      </c:spPr>
      <c:txPr>
        <a:bodyPr/>
        <a:lstStyle/>
        <a:p>
          <a:pPr>
            <a:defRPr sz="1200"/>
          </a:pPr>
          <a:endParaRPr lang="en-US"/>
        </a:p>
      </c:tx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mn-lt"/>
                <a:ea typeface="+mn-ea"/>
                <a:cs typeface="+mn-cs"/>
              </a:defRPr>
            </a:pPr>
            <a:r>
              <a:rPr lang="en-US" sz="1800" b="1" i="0" baseline="0">
                <a:effectLst/>
              </a:rPr>
              <a:t>Trial Deposits Results - Amortization Test Results for Relative Years 11+</a:t>
            </a:r>
          </a:p>
          <a:p>
            <a:pPr marL="0" marR="0" lvl="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mn-lt"/>
                <a:ea typeface="+mn-ea"/>
                <a:cs typeface="+mn-cs"/>
              </a:defRPr>
            </a:pPr>
            <a:r>
              <a:rPr lang="en-US" sz="1600" b="1" i="0" baseline="0">
                <a:effectLst/>
              </a:rPr>
              <a:t>% of Amortization Required to Mitigate Trial Deposit Results RfR Shortfall vs. Required Minimum Balance</a:t>
            </a:r>
            <a:endParaRPr lang="en-US" sz="1200">
              <a:effectLst/>
            </a:endParaRPr>
          </a:p>
        </c:rich>
      </c:tx>
      <c:layout>
        <c:manualLayout>
          <c:xMode val="edge"/>
          <c:yMode val="edge"/>
          <c:x val="0.12994996639198741"/>
          <c:y val="7.0102256092867729E-2"/>
        </c:manualLayout>
      </c:layout>
      <c:overlay val="0"/>
      <c:spPr>
        <a:ln>
          <a:solidFill>
            <a:srgbClr val="00B050"/>
          </a:solidFill>
        </a:ln>
      </c:spPr>
    </c:title>
    <c:autoTitleDeleted val="0"/>
    <c:plotArea>
      <c:layout>
        <c:manualLayout>
          <c:layoutTarget val="inner"/>
          <c:xMode val="edge"/>
          <c:yMode val="edge"/>
          <c:x val="0.12057746674631166"/>
          <c:y val="0.34909409663408625"/>
          <c:w val="0.84201575189625877"/>
          <c:h val="0.52793421737726309"/>
        </c:manualLayout>
      </c:layout>
      <c:barChart>
        <c:barDir val="col"/>
        <c:grouping val="clustered"/>
        <c:varyColors val="0"/>
        <c:ser>
          <c:idx val="1"/>
          <c:order val="0"/>
          <c:tx>
            <c:strRef>
              <c:f>'eTool Data Engine'!$E$51</c:f>
              <c:strCache>
                <c:ptCount val="1"/>
                <c:pt idx="0">
                  <c:v>For graph: % of Amortztn Req. to Offset (Trial Deposit results Ending Bal. minus Req. Min.)</c:v>
                </c:pt>
              </c:strCache>
            </c:strRef>
          </c:tx>
          <c:spPr>
            <a:solidFill>
              <a:srgbClr val="7030A0"/>
            </a:solidFill>
          </c:spPr>
          <c:invertIfNegative val="0"/>
          <c:dLbls>
            <c:spPr>
              <a:solidFill>
                <a:srgbClr val="CCCCFF"/>
              </a:solidFill>
              <a:ln>
                <a:solidFill>
                  <a:schemeClr val="accent1"/>
                </a:solidFill>
              </a:ln>
              <a:effectLst/>
            </c:spPr>
            <c:txPr>
              <a:bodyPr wrap="square" lIns="38100" tIns="19050" rIns="38100" bIns="19050" anchor="ctr">
                <a:spAutoFit/>
              </a:bodyPr>
              <a:lstStyle/>
              <a:p>
                <a:pPr>
                  <a:defRPr sz="11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'eTool Data Engine'!$F$51:$Y$51</c:f>
              <c:numCache>
                <c:formatCode>0.0%</c:formatCode>
                <c:ptCount val="20"/>
                <c:pt idx="0">
                  <c:v>-0.94500286386079968</c:v>
                </c:pt>
                <c:pt idx="1">
                  <c:v>-0.48458385986216429</c:v>
                </c:pt>
                <c:pt idx="2">
                  <c:v>-0.22202352972120978</c:v>
                </c:pt>
                <c:pt idx="3">
                  <c:v>-0.12939822063122933</c:v>
                </c:pt>
                <c:pt idx="4">
                  <c:v>-7.2023132233477588E-2</c:v>
                </c:pt>
                <c:pt idx="5">
                  <c:v>-3.6930340143744356E-2</c:v>
                </c:pt>
                <c:pt idx="6">
                  <c:v>-3.2741448332785875E-2</c:v>
                </c:pt>
                <c:pt idx="7">
                  <c:v>-1.5308682005530053E-2</c:v>
                </c:pt>
                <c:pt idx="8">
                  <c:v>-9.6661264005317091E-3</c:v>
                </c:pt>
                <c:pt idx="9">
                  <c:v>-5.4397902572496009E-3</c:v>
                </c:pt>
                <c:pt idx="10">
                  <c:v>4.1201411190364877E-2</c:v>
                </c:pt>
                <c:pt idx="11">
                  <c:v>7.6891074080449359E-2</c:v>
                </c:pt>
                <c:pt idx="12">
                  <c:v>8.0678347627255037E-2</c:v>
                </c:pt>
                <c:pt idx="13">
                  <c:v>8.7750464990717744E-2</c:v>
                </c:pt>
                <c:pt idx="14">
                  <c:v>0.10709408055739698</c:v>
                </c:pt>
                <c:pt idx="15">
                  <c:v>9.5542122758596734E-2</c:v>
                </c:pt>
                <c:pt idx="16">
                  <c:v>8.1980756257365103E-2</c:v>
                </c:pt>
                <c:pt idx="17">
                  <c:v>7.9940129834695006E-2</c:v>
                </c:pt>
                <c:pt idx="18">
                  <c:v>7.6423727599290101E-2</c:v>
                </c:pt>
                <c:pt idx="19">
                  <c:v>0.12388133996486311</c:v>
                </c:pt>
              </c:numCache>
            </c:numRef>
          </c:val>
          <c:extLst>
            <c:ext xmlns:c16="http://schemas.microsoft.com/office/drawing/2014/chart" uri="{C3380CC4-5D6E-409C-BE32-E72D297353CC}">
              <c16:uniqueId val="{00000000-A7CB-4C78-84A3-0D6DCADE2D77}"/>
            </c:ext>
          </c:extLst>
        </c:ser>
        <c:dLbls>
          <c:showLegendKey val="0"/>
          <c:showVal val="0"/>
          <c:showCatName val="0"/>
          <c:showSerName val="0"/>
          <c:showPercent val="0"/>
          <c:showBubbleSize val="0"/>
        </c:dLbls>
        <c:gapWidth val="150"/>
        <c:axId val="92253568"/>
        <c:axId val="92259840"/>
      </c:barChart>
      <c:catAx>
        <c:axId val="92253568"/>
        <c:scaling>
          <c:orientation val="minMax"/>
        </c:scaling>
        <c:delete val="0"/>
        <c:axPos val="b"/>
        <c:title>
          <c:tx>
            <c:rich>
              <a:bodyPr/>
              <a:lstStyle/>
              <a:p>
                <a:pPr>
                  <a:defRPr sz="800" b="0"/>
                </a:pPr>
                <a:r>
                  <a:rPr lang="en-US" sz="800" b="0"/>
                  <a:t>Relative Year</a:t>
                </a:r>
              </a:p>
            </c:rich>
          </c:tx>
          <c:overlay val="0"/>
        </c:title>
        <c:numFmt formatCode="0" sourceLinked="1"/>
        <c:majorTickMark val="out"/>
        <c:minorTickMark val="none"/>
        <c:tickLblPos val="nextTo"/>
        <c:txPr>
          <a:bodyPr/>
          <a:lstStyle/>
          <a:p>
            <a:pPr>
              <a:defRPr sz="800"/>
            </a:pPr>
            <a:endParaRPr lang="en-US"/>
          </a:p>
        </c:txPr>
        <c:crossAx val="92259840"/>
        <c:crosses val="autoZero"/>
        <c:auto val="1"/>
        <c:lblAlgn val="ctr"/>
        <c:lblOffset val="100"/>
        <c:noMultiLvlLbl val="0"/>
      </c:catAx>
      <c:valAx>
        <c:axId val="92259840"/>
        <c:scaling>
          <c:orientation val="minMax"/>
        </c:scaling>
        <c:delete val="0"/>
        <c:axPos val="l"/>
        <c:majorGridlines/>
        <c:numFmt formatCode="0%" sourceLinked="0"/>
        <c:majorTickMark val="out"/>
        <c:minorTickMark val="none"/>
        <c:tickLblPos val="nextTo"/>
        <c:crossAx val="92253568"/>
        <c:crosses val="autoZero"/>
        <c:crossBetween val="between"/>
      </c:valAx>
    </c:plotArea>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79418197725285"/>
          <c:y val="0.24537037037037038"/>
          <c:w val="0.80575218722659681"/>
          <c:h val="0.64260061242344702"/>
        </c:manualLayout>
      </c:layout>
      <c:lineChart>
        <c:grouping val="standard"/>
        <c:varyColors val="0"/>
        <c:ser>
          <c:idx val="0"/>
          <c:order val="0"/>
          <c:tx>
            <c:strRef>
              <c:f>'Trial Deposits Analysis'!$I$107</c:f>
              <c:strCache>
                <c:ptCount val="1"/>
                <c:pt idx="0">
                  <c:v>Inflated Needs/Unit Amounts</c:v>
                </c:pt>
              </c:strCache>
            </c:strRef>
          </c:tx>
          <c:spPr>
            <a:ln w="28575" cap="rnd">
              <a:solidFill>
                <a:schemeClr val="accent1"/>
              </a:solidFill>
              <a:round/>
            </a:ln>
            <a:effectLst/>
          </c:spPr>
          <c:marker>
            <c:symbol val="none"/>
          </c:marker>
          <c:val>
            <c:numRef>
              <c:f>'Trial Deposits Analysis'!$I$108:$I$127</c:f>
              <c:numCache>
                <c:formatCode>"$"#,##0_);[Red]\("$"#,##0\)</c:formatCode>
                <c:ptCount val="20"/>
                <c:pt idx="0">
                  <c:v>0</c:v>
                </c:pt>
                <c:pt idx="1">
                  <c:v>233.03333333333333</c:v>
                </c:pt>
                <c:pt idx="2">
                  <c:v>1281.6333333333334</c:v>
                </c:pt>
                <c:pt idx="3">
                  <c:v>814.0333333333333</c:v>
                </c:pt>
                <c:pt idx="4">
                  <c:v>859.35</c:v>
                </c:pt>
                <c:pt idx="5">
                  <c:v>814.0333333333333</c:v>
                </c:pt>
                <c:pt idx="6">
                  <c:v>339.43333333333334</c:v>
                </c:pt>
                <c:pt idx="7">
                  <c:v>737.11666666666667</c:v>
                </c:pt>
                <c:pt idx="8">
                  <c:v>504.08333333333331</c:v>
                </c:pt>
                <c:pt idx="9">
                  <c:v>504.08333333333331</c:v>
                </c:pt>
                <c:pt idx="10">
                  <c:v>2228.2166666666667</c:v>
                </c:pt>
                <c:pt idx="11">
                  <c:v>2144.6</c:v>
                </c:pt>
                <c:pt idx="12">
                  <c:v>931.7833333333333</c:v>
                </c:pt>
                <c:pt idx="13">
                  <c:v>1162.7</c:v>
                </c:pt>
                <c:pt idx="14">
                  <c:v>1967.1666666666667</c:v>
                </c:pt>
                <c:pt idx="15">
                  <c:v>230.91666666666666</c:v>
                </c:pt>
                <c:pt idx="16">
                  <c:v>0</c:v>
                </c:pt>
                <c:pt idx="17">
                  <c:v>730.43333333333328</c:v>
                </c:pt>
                <c:pt idx="18">
                  <c:v>614.48333333333335</c:v>
                </c:pt>
                <c:pt idx="19">
                  <c:v>4941.4333333333334</c:v>
                </c:pt>
              </c:numCache>
            </c:numRef>
          </c:val>
          <c:smooth val="0"/>
          <c:extLst>
            <c:ext xmlns:c16="http://schemas.microsoft.com/office/drawing/2014/chart" uri="{C3380CC4-5D6E-409C-BE32-E72D297353CC}">
              <c16:uniqueId val="{00000000-BCA4-484B-A0CB-3FA83891E11B}"/>
            </c:ext>
          </c:extLst>
        </c:ser>
        <c:ser>
          <c:idx val="1"/>
          <c:order val="1"/>
          <c:tx>
            <c:strRef>
              <c:f>'Trial Deposits Analysis'!$R$107</c:f>
              <c:strCache>
                <c:ptCount val="1"/>
                <c:pt idx="0">
                  <c:v>Req. Min. Bal./Unit Amounts</c:v>
                </c:pt>
              </c:strCache>
            </c:strRef>
          </c:tx>
          <c:spPr>
            <a:ln w="28575" cap="rnd">
              <a:solidFill>
                <a:schemeClr val="accent2"/>
              </a:solidFill>
              <a:round/>
            </a:ln>
            <a:effectLst/>
          </c:spPr>
          <c:marker>
            <c:symbol val="none"/>
          </c:marker>
          <c:val>
            <c:numRef>
              <c:f>'Trial Deposits Analysis'!$R$108:$R$127</c:f>
              <c:numCache>
                <c:formatCode>"$"#,##0_);[Red]\("$"#,##0\)</c:formatCode>
                <c:ptCount val="20"/>
                <c:pt idx="0">
                  <c:v>835.85</c:v>
                </c:pt>
                <c:pt idx="1">
                  <c:v>852.56666666666672</c:v>
                </c:pt>
                <c:pt idx="2">
                  <c:v>869.61666666666667</c:v>
                </c:pt>
                <c:pt idx="3">
                  <c:v>887</c:v>
                </c:pt>
                <c:pt idx="4">
                  <c:v>904.75</c:v>
                </c:pt>
                <c:pt idx="5">
                  <c:v>922.83333333333337</c:v>
                </c:pt>
                <c:pt idx="6">
                  <c:v>941.3</c:v>
                </c:pt>
                <c:pt idx="7">
                  <c:v>960.11666666666667</c:v>
                </c:pt>
                <c:pt idx="8">
                  <c:v>979.33333333333337</c:v>
                </c:pt>
                <c:pt idx="9">
                  <c:v>998.91666666666663</c:v>
                </c:pt>
                <c:pt idx="10">
                  <c:v>1018.8833333333333</c:v>
                </c:pt>
                <c:pt idx="11">
                  <c:v>1039.2666666666667</c:v>
                </c:pt>
                <c:pt idx="12">
                  <c:v>1060.05</c:v>
                </c:pt>
                <c:pt idx="13">
                  <c:v>1081.25</c:v>
                </c:pt>
                <c:pt idx="14">
                  <c:v>1102.8833333333334</c:v>
                </c:pt>
                <c:pt idx="15">
                  <c:v>1124.9333333333334</c:v>
                </c:pt>
                <c:pt idx="16">
                  <c:v>1147.4333333333334</c:v>
                </c:pt>
                <c:pt idx="17">
                  <c:v>1170.3833333333334</c:v>
                </c:pt>
                <c:pt idx="18">
                  <c:v>1193.8</c:v>
                </c:pt>
                <c:pt idx="19">
                  <c:v>1217.6666666666667</c:v>
                </c:pt>
              </c:numCache>
            </c:numRef>
          </c:val>
          <c:smooth val="0"/>
          <c:extLst>
            <c:ext xmlns:c16="http://schemas.microsoft.com/office/drawing/2014/chart" uri="{C3380CC4-5D6E-409C-BE32-E72D297353CC}">
              <c16:uniqueId val="{00000001-BCA4-484B-A0CB-3FA83891E11B}"/>
            </c:ext>
          </c:extLst>
        </c:ser>
        <c:ser>
          <c:idx val="2"/>
          <c:order val="2"/>
          <c:tx>
            <c:strRef>
              <c:f>'Trial Deposits Analysis'!$T$107</c:f>
              <c:strCache>
                <c:ptCount val="1"/>
                <c:pt idx="0">
                  <c:v>RfR Ending Bal./Unit Amounts</c:v>
                </c:pt>
              </c:strCache>
            </c:strRef>
          </c:tx>
          <c:spPr>
            <a:ln w="28575" cap="rnd">
              <a:solidFill>
                <a:schemeClr val="accent3"/>
              </a:solidFill>
              <a:round/>
            </a:ln>
            <a:effectLst/>
          </c:spPr>
          <c:marker>
            <c:symbol val="none"/>
          </c:marker>
          <c:val>
            <c:numRef>
              <c:f>'Trial Deposits Analysis'!$T$108:$T$127</c:f>
              <c:numCache>
                <c:formatCode>"$"#,##0_);[Red]\("$"#,##0\)</c:formatCode>
                <c:ptCount val="20"/>
                <c:pt idx="0">
                  <c:v>3696.6666666666665</c:v>
                </c:pt>
                <c:pt idx="1">
                  <c:v>3837.2</c:v>
                </c:pt>
                <c:pt idx="2">
                  <c:v>2956.4566666666665</c:v>
                </c:pt>
                <c:pt idx="3">
                  <c:v>2536.9688233333331</c:v>
                </c:pt>
                <c:pt idx="4">
                  <c:v>2072.8759684833331</c:v>
                </c:pt>
                <c:pt idx="5">
                  <c:v>1654.2824397332495</c:v>
                </c:pt>
                <c:pt idx="6">
                  <c:v>1711.2969413530348</c:v>
                </c:pt>
                <c:pt idx="7">
                  <c:v>1378.9159991309259</c:v>
                </c:pt>
                <c:pt idx="8">
                  <c:v>1282.1640015153041</c:v>
                </c:pt>
                <c:pt idx="9">
                  <c:v>1191.6936758500631</c:v>
                </c:pt>
                <c:pt idx="10">
                  <c:v>-616.37942708058279</c:v>
                </c:pt>
                <c:pt idx="11">
                  <c:v>-2350.6659053103476</c:v>
                </c:pt>
                <c:pt idx="12">
                  <c:v>-2863.9294464380409</c:v>
                </c:pt>
                <c:pt idx="13">
                  <c:v>-3599.7392583882884</c:v>
                </c:pt>
                <c:pt idx="14">
                  <c:v>-5131.4779332442076</c:v>
                </c:pt>
                <c:pt idx="15">
                  <c:v>-4918.2580482639114</c:v>
                </c:pt>
                <c:pt idx="16">
                  <c:v>-4465.2387655840093</c:v>
                </c:pt>
                <c:pt idx="17">
                  <c:v>-4733.5924305838416</c:v>
                </c:pt>
                <c:pt idx="18">
                  <c:v>-4876.7545022170052</c:v>
                </c:pt>
                <c:pt idx="19">
                  <c:v>-9337.4401486161642</c:v>
                </c:pt>
              </c:numCache>
            </c:numRef>
          </c:val>
          <c:smooth val="0"/>
          <c:extLst>
            <c:ext xmlns:c16="http://schemas.microsoft.com/office/drawing/2014/chart" uri="{C3380CC4-5D6E-409C-BE32-E72D297353CC}">
              <c16:uniqueId val="{00000002-BCA4-484B-A0CB-3FA83891E11B}"/>
            </c:ext>
          </c:extLst>
        </c:ser>
        <c:dLbls>
          <c:showLegendKey val="0"/>
          <c:showVal val="0"/>
          <c:showCatName val="0"/>
          <c:showSerName val="0"/>
          <c:showPercent val="0"/>
          <c:showBubbleSize val="0"/>
        </c:dLbls>
        <c:smooth val="0"/>
        <c:axId val="490745864"/>
        <c:axId val="490750784"/>
      </c:lineChart>
      <c:catAx>
        <c:axId val="490745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0750784"/>
        <c:crosses val="autoZero"/>
        <c:auto val="1"/>
        <c:lblAlgn val="ctr"/>
        <c:lblOffset val="100"/>
        <c:noMultiLvlLbl val="0"/>
      </c:catAx>
      <c:valAx>
        <c:axId val="49075078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07458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areaChart>
        <c:grouping val="standard"/>
        <c:varyColors val="0"/>
        <c:ser>
          <c:idx val="0"/>
          <c:order val="0"/>
          <c:spPr>
            <a:solidFill>
              <a:schemeClr val="accent1"/>
            </a:solidFill>
            <a:ln>
              <a:noFill/>
            </a:ln>
            <a:effectLst/>
          </c:spPr>
          <c:val>
            <c:numRef>
              <c:f>'Trial Deposits Analysis'!$V$108:$V$127</c:f>
              <c:numCache>
                <c:formatCode>"$"#,##0_);[Red]\("$"#,##0\)</c:formatCode>
                <c:ptCount val="20"/>
                <c:pt idx="0">
                  <c:v>1262312</c:v>
                </c:pt>
                <c:pt idx="1">
                  <c:v>1248330</c:v>
                </c:pt>
                <c:pt idx="2">
                  <c:v>1171432</c:v>
                </c:pt>
                <c:pt idx="3">
                  <c:v>1122590</c:v>
                </c:pt>
                <c:pt idx="4">
                  <c:v>1071029</c:v>
                </c:pt>
                <c:pt idx="5">
                  <c:v>1022187</c:v>
                </c:pt>
                <c:pt idx="6">
                  <c:v>1001821</c:v>
                </c:pt>
                <c:pt idx="7">
                  <c:v>957594</c:v>
                </c:pt>
                <c:pt idx="8">
                  <c:v>927349</c:v>
                </c:pt>
                <c:pt idx="9">
                  <c:v>897104</c:v>
                </c:pt>
                <c:pt idx="10">
                  <c:v>763411</c:v>
                </c:pt>
                <c:pt idx="11">
                  <c:v>634735</c:v>
                </c:pt>
                <c:pt idx="12">
                  <c:v>578828</c:v>
                </c:pt>
                <c:pt idx="13">
                  <c:v>509066</c:v>
                </c:pt>
                <c:pt idx="14">
                  <c:v>391036</c:v>
                </c:pt>
                <c:pt idx="15">
                  <c:v>377181</c:v>
                </c:pt>
                <c:pt idx="16">
                  <c:v>377181</c:v>
                </c:pt>
                <c:pt idx="17">
                  <c:v>333355</c:v>
                </c:pt>
                <c:pt idx="18">
                  <c:v>296486</c:v>
                </c:pt>
                <c:pt idx="19">
                  <c:v>0</c:v>
                </c:pt>
              </c:numCache>
            </c:numRef>
          </c:val>
          <c:extLst>
            <c:ext xmlns:c16="http://schemas.microsoft.com/office/drawing/2014/chart" uri="{C3380CC4-5D6E-409C-BE32-E72D297353CC}">
              <c16:uniqueId val="{00000000-FD1B-4331-9F39-34C59821036E}"/>
            </c:ext>
          </c:extLst>
        </c:ser>
        <c:ser>
          <c:idx val="3"/>
          <c:order val="1"/>
          <c:spPr>
            <a:solidFill>
              <a:schemeClr val="accent4"/>
            </a:solidFill>
            <a:ln>
              <a:noFill/>
            </a:ln>
            <a:effectLst/>
          </c:spPr>
          <c:val>
            <c:numRef>
              <c:f>'Trial Deposits Analysis'!$Y$108:$Y$127</c:f>
              <c:numCache>
                <c:formatCode>"$"#,##0_);[Red]\("$"#,##0\)</c:formatCode>
                <c:ptCount val="20"/>
                <c:pt idx="0">
                  <c:v>702065.5910830301</c:v>
                </c:pt>
                <c:pt idx="1">
                  <c:v>688083.5910830301</c:v>
                </c:pt>
                <c:pt idx="2">
                  <c:v>611185.5910830301</c:v>
                </c:pt>
                <c:pt idx="3">
                  <c:v>562343.5910830301</c:v>
                </c:pt>
                <c:pt idx="4">
                  <c:v>510782.5910830301</c:v>
                </c:pt>
                <c:pt idx="5">
                  <c:v>461940.5910830301</c:v>
                </c:pt>
                <c:pt idx="6">
                  <c:v>441574.5910830301</c:v>
                </c:pt>
                <c:pt idx="7">
                  <c:v>397347.5910830301</c:v>
                </c:pt>
                <c:pt idx="8">
                  <c:v>367102.5910830301</c:v>
                </c:pt>
                <c:pt idx="9">
                  <c:v>336857.5910830301</c:v>
                </c:pt>
                <c:pt idx="10">
                  <c:v>203164.5910830301</c:v>
                </c:pt>
                <c:pt idx="11">
                  <c:v>74488.5910830301</c:v>
                </c:pt>
                <c:pt idx="12">
                  <c:v>18581.5910830301</c:v>
                </c:pt>
                <c:pt idx="13">
                  <c:v>-51180.4089169699</c:v>
                </c:pt>
                <c:pt idx="14">
                  <c:v>-169210.4089169699</c:v>
                </c:pt>
                <c:pt idx="15">
                  <c:v>-183065.4089169699</c:v>
                </c:pt>
                <c:pt idx="16">
                  <c:v>-183065.4089169699</c:v>
                </c:pt>
                <c:pt idx="17">
                  <c:v>-226891.4089169699</c:v>
                </c:pt>
                <c:pt idx="18">
                  <c:v>-263760.4089169699</c:v>
                </c:pt>
                <c:pt idx="19">
                  <c:v>-560246.4089169699</c:v>
                </c:pt>
              </c:numCache>
            </c:numRef>
          </c:val>
          <c:extLst>
            <c:ext xmlns:c16="http://schemas.microsoft.com/office/drawing/2014/chart" uri="{C3380CC4-5D6E-409C-BE32-E72D297353CC}">
              <c16:uniqueId val="{00000003-FD1B-4331-9F39-34C59821036E}"/>
            </c:ext>
          </c:extLst>
        </c:ser>
        <c:dLbls>
          <c:showLegendKey val="0"/>
          <c:showVal val="0"/>
          <c:showCatName val="0"/>
          <c:showSerName val="0"/>
          <c:showPercent val="0"/>
          <c:showBubbleSize val="0"/>
        </c:dLbls>
        <c:axId val="486662872"/>
        <c:axId val="486671728"/>
      </c:areaChart>
      <c:catAx>
        <c:axId val="486662872"/>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6671728"/>
        <c:crosses val="autoZero"/>
        <c:auto val="1"/>
        <c:lblAlgn val="ctr"/>
        <c:lblOffset val="100"/>
        <c:noMultiLvlLbl val="0"/>
      </c:catAx>
      <c:valAx>
        <c:axId val="48667172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666287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200"/>
              <a:t>Trial Balance</a:t>
            </a:r>
            <a:r>
              <a:rPr lang="en-US" sz="1200" baseline="0"/>
              <a:t> Results: </a:t>
            </a:r>
          </a:p>
          <a:p>
            <a:pPr>
              <a:defRPr sz="1800"/>
            </a:pPr>
            <a:r>
              <a:rPr lang="en-US" sz="1200"/>
              <a:t>Annual RfR Sources</a:t>
            </a:r>
            <a:r>
              <a:rPr lang="en-US" sz="1200" baseline="0"/>
              <a:t> and Uses </a:t>
            </a:r>
            <a:r>
              <a:rPr lang="en-US" sz="1200"/>
              <a:t>Per Unit Analysis</a:t>
            </a:r>
          </a:p>
        </c:rich>
      </c:tx>
      <c:layout>
        <c:manualLayout>
          <c:xMode val="edge"/>
          <c:yMode val="edge"/>
          <c:x val="0.29006720474266173"/>
          <c:y val="4.3382318087639787E-2"/>
        </c:manualLayout>
      </c:layout>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929631872938959"/>
          <c:y val="0.29338541143166352"/>
          <c:w val="0.82854054781613828"/>
          <c:h val="0.58076935786561945"/>
        </c:manualLayout>
      </c:layout>
      <c:lineChart>
        <c:grouping val="standard"/>
        <c:varyColors val="0"/>
        <c:ser>
          <c:idx val="0"/>
          <c:order val="0"/>
          <c:tx>
            <c:strRef>
              <c:f>'Trial Dep. Projections Sumry'!$C$67</c:f>
              <c:strCache>
                <c:ptCount val="1"/>
                <c:pt idx="0">
                  <c:v>Annual Escalated Deposit per Unit</c:v>
                </c:pt>
              </c:strCache>
            </c:strRef>
          </c:tx>
          <c:spPr>
            <a:ln w="28575" cap="rnd">
              <a:solidFill>
                <a:schemeClr val="accent1"/>
              </a:solidFill>
              <a:round/>
            </a:ln>
            <a:effectLst/>
          </c:spPr>
          <c:marker>
            <c:symbol val="none"/>
          </c:marker>
          <c:val>
            <c:numRef>
              <c:f>'Trial Dep. Projections Sumry'!$I$67:$AB$67</c:f>
              <c:numCache>
                <c:formatCode>"$"#,##0</c:formatCode>
                <c:ptCount val="20"/>
                <c:pt idx="0">
                  <c:v>330</c:v>
                </c:pt>
                <c:pt idx="1">
                  <c:v>336.6</c:v>
                </c:pt>
                <c:pt idx="2">
                  <c:v>343.33199999999999</c:v>
                </c:pt>
                <c:pt idx="3">
                  <c:v>350.19863999999995</c:v>
                </c:pt>
                <c:pt idx="4">
                  <c:v>357.2026128</c:v>
                </c:pt>
                <c:pt idx="5">
                  <c:v>364.34666505600001</c:v>
                </c:pt>
                <c:pt idx="6">
                  <c:v>371.63359835711998</c:v>
                </c:pt>
                <c:pt idx="7">
                  <c:v>379.0662703242624</c:v>
                </c:pt>
                <c:pt idx="8">
                  <c:v>386.6475957307477</c:v>
                </c:pt>
                <c:pt idx="9">
                  <c:v>394.38054764536264</c:v>
                </c:pt>
                <c:pt idx="10">
                  <c:v>402.26815859826991</c:v>
                </c:pt>
                <c:pt idx="11">
                  <c:v>410.31352177023535</c:v>
                </c:pt>
                <c:pt idx="12">
                  <c:v>418.51979220564004</c:v>
                </c:pt>
                <c:pt idx="13">
                  <c:v>426.89018804975274</c:v>
                </c:pt>
                <c:pt idx="14">
                  <c:v>435.42799181074787</c:v>
                </c:pt>
                <c:pt idx="15">
                  <c:v>444.13655164696286</c:v>
                </c:pt>
                <c:pt idx="16">
                  <c:v>453.01928267990212</c:v>
                </c:pt>
                <c:pt idx="17">
                  <c:v>462.07966833350019</c:v>
                </c:pt>
                <c:pt idx="18">
                  <c:v>471.32126170017023</c:v>
                </c:pt>
                <c:pt idx="19">
                  <c:v>480.7476869341736</c:v>
                </c:pt>
              </c:numCache>
            </c:numRef>
          </c:val>
          <c:smooth val="0"/>
          <c:extLst>
            <c:ext xmlns:c16="http://schemas.microsoft.com/office/drawing/2014/chart" uri="{C3380CC4-5D6E-409C-BE32-E72D297353CC}">
              <c16:uniqueId val="{00000000-1B62-45E6-AA49-B813A0C19C30}"/>
            </c:ext>
          </c:extLst>
        </c:ser>
        <c:ser>
          <c:idx val="1"/>
          <c:order val="1"/>
          <c:tx>
            <c:strRef>
              <c:f>'Trial Dep. Projections Sumry'!$C$69</c:f>
              <c:strCache>
                <c:ptCount val="1"/>
                <c:pt idx="0">
                  <c:v>Annual Inflated Needs per Unit</c:v>
                </c:pt>
              </c:strCache>
            </c:strRef>
          </c:tx>
          <c:spPr>
            <a:ln w="28575" cap="rnd">
              <a:solidFill>
                <a:schemeClr val="accent2"/>
              </a:solidFill>
              <a:round/>
            </a:ln>
            <a:effectLst/>
          </c:spPr>
          <c:marker>
            <c:symbol val="none"/>
          </c:marker>
          <c:val>
            <c:numRef>
              <c:f>'Trial Dep. Projections Sumry'!$I$69:$AB$69</c:f>
              <c:numCache>
                <c:formatCode>"$"#,##0</c:formatCode>
                <c:ptCount val="20"/>
                <c:pt idx="0">
                  <c:v>0</c:v>
                </c:pt>
                <c:pt idx="1">
                  <c:v>233.03333333333333</c:v>
                </c:pt>
                <c:pt idx="2">
                  <c:v>1281.6333333333334</c:v>
                </c:pt>
                <c:pt idx="3">
                  <c:v>814.0333333333333</c:v>
                </c:pt>
                <c:pt idx="4">
                  <c:v>859.35</c:v>
                </c:pt>
                <c:pt idx="5">
                  <c:v>814.0333333333333</c:v>
                </c:pt>
                <c:pt idx="6">
                  <c:v>339.43333333333334</c:v>
                </c:pt>
                <c:pt idx="7">
                  <c:v>737.11666666666667</c:v>
                </c:pt>
                <c:pt idx="8">
                  <c:v>504.08333333333331</c:v>
                </c:pt>
                <c:pt idx="9">
                  <c:v>504.08333333333331</c:v>
                </c:pt>
                <c:pt idx="10">
                  <c:v>2228.2166666666667</c:v>
                </c:pt>
                <c:pt idx="11">
                  <c:v>2144.6</c:v>
                </c:pt>
                <c:pt idx="12">
                  <c:v>931.7833333333333</c:v>
                </c:pt>
                <c:pt idx="13">
                  <c:v>1162.7</c:v>
                </c:pt>
                <c:pt idx="14">
                  <c:v>1967.1666666666667</c:v>
                </c:pt>
                <c:pt idx="15">
                  <c:v>230.91666666666666</c:v>
                </c:pt>
                <c:pt idx="16">
                  <c:v>0</c:v>
                </c:pt>
                <c:pt idx="17">
                  <c:v>730.43333333333328</c:v>
                </c:pt>
                <c:pt idx="18">
                  <c:v>614.48333333333335</c:v>
                </c:pt>
                <c:pt idx="19">
                  <c:v>4941.4333333333334</c:v>
                </c:pt>
              </c:numCache>
            </c:numRef>
          </c:val>
          <c:smooth val="0"/>
          <c:extLst>
            <c:ext xmlns:c16="http://schemas.microsoft.com/office/drawing/2014/chart" uri="{C3380CC4-5D6E-409C-BE32-E72D297353CC}">
              <c16:uniqueId val="{00000001-1B62-45E6-AA49-B813A0C19C30}"/>
            </c:ext>
          </c:extLst>
        </c:ser>
        <c:ser>
          <c:idx val="2"/>
          <c:order val="2"/>
          <c:tx>
            <c:strRef>
              <c:f>'Trial Dep. Projections Sumry'!$C$70</c:f>
              <c:strCache>
                <c:ptCount val="1"/>
                <c:pt idx="0">
                  <c:v>Annual Minimum Balance per Unit</c:v>
                </c:pt>
              </c:strCache>
            </c:strRef>
          </c:tx>
          <c:spPr>
            <a:ln w="28575" cap="rnd">
              <a:solidFill>
                <a:schemeClr val="accent3"/>
              </a:solidFill>
              <a:round/>
            </a:ln>
            <a:effectLst/>
          </c:spPr>
          <c:marker>
            <c:symbol val="none"/>
          </c:marker>
          <c:val>
            <c:numRef>
              <c:f>'Trial Dep. Projections Sumry'!$I$70:$AB$70</c:f>
              <c:numCache>
                <c:formatCode>"$"#,##0</c:formatCode>
                <c:ptCount val="20"/>
                <c:pt idx="0">
                  <c:v>835.85</c:v>
                </c:pt>
                <c:pt idx="1">
                  <c:v>852.56700000000012</c:v>
                </c:pt>
                <c:pt idx="2">
                  <c:v>869.6183400000001</c:v>
                </c:pt>
                <c:pt idx="3">
                  <c:v>887.01070679999998</c:v>
                </c:pt>
                <c:pt idx="4">
                  <c:v>904.75092093599994</c:v>
                </c:pt>
                <c:pt idx="5">
                  <c:v>922.84593935472003</c:v>
                </c:pt>
                <c:pt idx="6">
                  <c:v>941.30285814181445</c:v>
                </c:pt>
                <c:pt idx="7">
                  <c:v>960.12891530465072</c:v>
                </c:pt>
                <c:pt idx="8">
                  <c:v>979.33149361074379</c:v>
                </c:pt>
                <c:pt idx="9">
                  <c:v>998.91812348295878</c:v>
                </c:pt>
                <c:pt idx="10">
                  <c:v>1018.8964859526179</c:v>
                </c:pt>
                <c:pt idx="11">
                  <c:v>1039.2744156716701</c:v>
                </c:pt>
                <c:pt idx="12">
                  <c:v>1060.0599039851036</c:v>
                </c:pt>
                <c:pt idx="13">
                  <c:v>1081.2611020648058</c:v>
                </c:pt>
                <c:pt idx="14">
                  <c:v>1102.8863241061017</c:v>
                </c:pt>
                <c:pt idx="15">
                  <c:v>1124.9440505882239</c:v>
                </c:pt>
                <c:pt idx="16">
                  <c:v>1147.4429315999885</c:v>
                </c:pt>
                <c:pt idx="17">
                  <c:v>1170.3917902319884</c:v>
                </c:pt>
                <c:pt idx="18">
                  <c:v>1193.7996260366281</c:v>
                </c:pt>
                <c:pt idx="19">
                  <c:v>1217.6756185573606</c:v>
                </c:pt>
              </c:numCache>
            </c:numRef>
          </c:val>
          <c:smooth val="0"/>
          <c:extLst>
            <c:ext xmlns:c16="http://schemas.microsoft.com/office/drawing/2014/chart" uri="{C3380CC4-5D6E-409C-BE32-E72D297353CC}">
              <c16:uniqueId val="{00000002-1B62-45E6-AA49-B813A0C19C30}"/>
            </c:ext>
          </c:extLst>
        </c:ser>
        <c:ser>
          <c:idx val="3"/>
          <c:order val="3"/>
          <c:tx>
            <c:strRef>
              <c:f>'Trial Dep. Projections Sumry'!$C$68</c:f>
              <c:strCache>
                <c:ptCount val="1"/>
                <c:pt idx="0">
                  <c:v>Annual Transfers from Init. Dep. + Int. Inc.  per Unit</c:v>
                </c:pt>
              </c:strCache>
            </c:strRef>
          </c:tx>
          <c:spPr>
            <a:ln w="28575" cap="rnd">
              <a:solidFill>
                <a:schemeClr val="accent1">
                  <a:lumMod val="60000"/>
                  <a:lumOff val="40000"/>
                </a:schemeClr>
              </a:solidFill>
              <a:prstDash val="sysDash"/>
              <a:round/>
            </a:ln>
            <a:effectLst/>
          </c:spPr>
          <c:marker>
            <c:symbol val="none"/>
          </c:marker>
          <c:val>
            <c:numRef>
              <c:f>'Trial Dep. Projections Sumry'!$I$68:$AB$68</c:f>
              <c:numCache>
                <c:formatCode>"$"#,##0</c:formatCode>
                <c:ptCount val="20"/>
                <c:pt idx="0">
                  <c:v>0</c:v>
                </c:pt>
                <c:pt idx="1">
                  <c:v>0</c:v>
                </c:pt>
                <c:pt idx="2">
                  <c:v>938.30133333333333</c:v>
                </c:pt>
                <c:pt idx="3">
                  <c:v>463.83469333333335</c:v>
                </c:pt>
                <c:pt idx="4">
                  <c:v>502.14738719999997</c:v>
                </c:pt>
                <c:pt idx="5">
                  <c:v>449.68666827733335</c:v>
                </c:pt>
                <c:pt idx="6">
                  <c:v>0</c:v>
                </c:pt>
                <c:pt idx="7">
                  <c:v>358.05039634240427</c:v>
                </c:pt>
                <c:pt idx="8">
                  <c:v>117.43573760258563</c:v>
                </c:pt>
                <c:pt idx="9">
                  <c:v>109.70278568797069</c:v>
                </c:pt>
                <c:pt idx="10">
                  <c:v>743.80214929736155</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3-1B62-45E6-AA49-B813A0C19C30}"/>
            </c:ext>
          </c:extLst>
        </c:ser>
        <c:dLbls>
          <c:showLegendKey val="0"/>
          <c:showVal val="0"/>
          <c:showCatName val="0"/>
          <c:showSerName val="0"/>
          <c:showPercent val="0"/>
          <c:showBubbleSize val="0"/>
        </c:dLbls>
        <c:smooth val="0"/>
        <c:axId val="386874008"/>
        <c:axId val="386870728"/>
      </c:lineChart>
      <c:catAx>
        <c:axId val="386874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6870728"/>
        <c:crosses val="autoZero"/>
        <c:auto val="1"/>
        <c:lblAlgn val="ctr"/>
        <c:lblOffset val="100"/>
        <c:noMultiLvlLbl val="0"/>
      </c:catAx>
      <c:valAx>
        <c:axId val="38687072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6874008"/>
        <c:crosses val="autoZero"/>
        <c:crossBetween val="between"/>
      </c:valAx>
      <c:spPr>
        <a:noFill/>
        <a:ln>
          <a:solidFill>
            <a:schemeClr val="bg1"/>
          </a:solidFill>
        </a:ln>
        <a:effectLst/>
      </c:spPr>
    </c:plotArea>
    <c:legend>
      <c:legendPos val="t"/>
      <c:layout>
        <c:manualLayout>
          <c:xMode val="edge"/>
          <c:yMode val="edge"/>
          <c:x val="0.11337458339265311"/>
          <c:y val="0.22058378210670354"/>
          <c:w val="0.76818170805572383"/>
          <c:h val="0.28087579049982031"/>
        </c:manualLayout>
      </c:layout>
      <c:overlay val="0"/>
      <c:spPr>
        <a:solidFill>
          <a:schemeClr val="bg1"/>
        </a:solidFill>
        <a:ln>
          <a:solidFill>
            <a:srgbClr val="0070C0"/>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rgbClr val="0070C0"/>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Annual Inflows into the Reserve for Replacements</a:t>
            </a:r>
          </a:p>
        </c:rich>
      </c:tx>
      <c:layout>
        <c:manualLayout>
          <c:xMode val="edge"/>
          <c:yMode val="edge"/>
          <c:x val="0.13370573961273721"/>
          <c:y val="5.6224899598393545E-2"/>
        </c:manualLayout>
      </c:layout>
      <c:overlay val="1"/>
    </c:title>
    <c:autoTitleDeleted val="0"/>
    <c:plotArea>
      <c:layout>
        <c:manualLayout>
          <c:layoutTarget val="inner"/>
          <c:xMode val="edge"/>
          <c:yMode val="edge"/>
          <c:x val="0.12832174103237096"/>
          <c:y val="0.28044208329380577"/>
          <c:w val="0.74787204724409551"/>
          <c:h val="0.60865277382495853"/>
        </c:manualLayout>
      </c:layout>
      <c:barChart>
        <c:barDir val="col"/>
        <c:grouping val="stacked"/>
        <c:varyColors val="0"/>
        <c:ser>
          <c:idx val="1"/>
          <c:order val="0"/>
          <c:tx>
            <c:strRef>
              <c:f>'Trial Deposits Engine'!$G$211</c:f>
              <c:strCache>
                <c:ptCount val="1"/>
                <c:pt idx="0">
                  <c:v>Inflationary Increase in Annual Deposit</c:v>
                </c:pt>
              </c:strCache>
            </c:strRef>
          </c:tx>
          <c:invertIfNegative val="0"/>
          <c:cat>
            <c:numRef>
              <c:f>'Trial Deposits Engine'!$H$208:$AA$208</c:f>
              <c:numCache>
                <c:formatCode>0</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Engine'!$H$211:$AA$211</c:f>
              <c:numCache>
                <c:formatCode>"$"#,##0.0_);[Red]\("$"#,##0.0\)</c:formatCode>
                <c:ptCount val="20"/>
                <c:pt idx="0">
                  <c:v>0</c:v>
                </c:pt>
                <c:pt idx="1">
                  <c:v>396.00000000000034</c:v>
                </c:pt>
                <c:pt idx="2">
                  <c:v>799.91999999999985</c:v>
                </c:pt>
                <c:pt idx="3">
                  <c:v>1211.9183999999987</c:v>
                </c:pt>
                <c:pt idx="4">
                  <c:v>1632.1567679999996</c:v>
                </c:pt>
                <c:pt idx="5">
                  <c:v>2060.7999033600004</c:v>
                </c:pt>
                <c:pt idx="6">
                  <c:v>2498.0159014272012</c:v>
                </c:pt>
                <c:pt idx="7">
                  <c:v>2943.9762194557447</c:v>
                </c:pt>
                <c:pt idx="8">
                  <c:v>3398.8557438448615</c:v>
                </c:pt>
                <c:pt idx="9">
                  <c:v>3862.8328587217588</c:v>
                </c:pt>
                <c:pt idx="10">
                  <c:v>4336.0895158961948</c:v>
                </c:pt>
                <c:pt idx="11">
                  <c:v>4818.8113062141183</c:v>
                </c:pt>
                <c:pt idx="12">
                  <c:v>5311.1875323384011</c:v>
                </c:pt>
                <c:pt idx="13">
                  <c:v>5813.4112829851674</c:v>
                </c:pt>
                <c:pt idx="14">
                  <c:v>6325.6795086448728</c:v>
                </c:pt>
                <c:pt idx="15">
                  <c:v>6848.1930988177719</c:v>
                </c:pt>
                <c:pt idx="16">
                  <c:v>7381.1569607941274</c:v>
                </c:pt>
                <c:pt idx="17">
                  <c:v>7924.7801000100117</c:v>
                </c:pt>
                <c:pt idx="18">
                  <c:v>8479.2757020102126</c:v>
                </c:pt>
                <c:pt idx="19">
                  <c:v>9044.8612160504163</c:v>
                </c:pt>
              </c:numCache>
            </c:numRef>
          </c:val>
          <c:extLst>
            <c:ext xmlns:c16="http://schemas.microsoft.com/office/drawing/2014/chart" uri="{C3380CC4-5D6E-409C-BE32-E72D297353CC}">
              <c16:uniqueId val="{00000000-3111-4A7F-A880-442FEC4A9025}"/>
            </c:ext>
          </c:extLst>
        </c:ser>
        <c:ser>
          <c:idx val="0"/>
          <c:order val="1"/>
          <c:tx>
            <c:strRef>
              <c:f>'Trial Deposits Engine'!$G$210</c:f>
              <c:strCache>
                <c:ptCount val="1"/>
                <c:pt idx="0">
                  <c:v>Base Annual RfR Deposit</c:v>
                </c:pt>
              </c:strCache>
            </c:strRef>
          </c:tx>
          <c:invertIfNegative val="0"/>
          <c:cat>
            <c:numRef>
              <c:f>'Trial Deposits Engine'!$H$208:$AA$208</c:f>
              <c:numCache>
                <c:formatCode>0</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Engine'!$H$210:$AA$210</c:f>
              <c:numCache>
                <c:formatCode>"$"#,##0.0_);[Red]\("$"#,##0.0\)</c:formatCode>
                <c:ptCount val="20"/>
                <c:pt idx="0">
                  <c:v>19800</c:v>
                </c:pt>
                <c:pt idx="1">
                  <c:v>19800</c:v>
                </c:pt>
                <c:pt idx="2">
                  <c:v>19800</c:v>
                </c:pt>
                <c:pt idx="3">
                  <c:v>19800</c:v>
                </c:pt>
                <c:pt idx="4">
                  <c:v>19800</c:v>
                </c:pt>
                <c:pt idx="5">
                  <c:v>19800</c:v>
                </c:pt>
                <c:pt idx="6">
                  <c:v>19800</c:v>
                </c:pt>
                <c:pt idx="7">
                  <c:v>19800</c:v>
                </c:pt>
                <c:pt idx="8">
                  <c:v>19800</c:v>
                </c:pt>
                <c:pt idx="9">
                  <c:v>19800</c:v>
                </c:pt>
                <c:pt idx="10">
                  <c:v>19800</c:v>
                </c:pt>
                <c:pt idx="11">
                  <c:v>19800</c:v>
                </c:pt>
                <c:pt idx="12">
                  <c:v>19800</c:v>
                </c:pt>
                <c:pt idx="13">
                  <c:v>19800</c:v>
                </c:pt>
                <c:pt idx="14">
                  <c:v>19800</c:v>
                </c:pt>
                <c:pt idx="15">
                  <c:v>19800</c:v>
                </c:pt>
                <c:pt idx="16">
                  <c:v>19800</c:v>
                </c:pt>
                <c:pt idx="17">
                  <c:v>19800</c:v>
                </c:pt>
                <c:pt idx="18">
                  <c:v>19800</c:v>
                </c:pt>
                <c:pt idx="19">
                  <c:v>19800</c:v>
                </c:pt>
              </c:numCache>
            </c:numRef>
          </c:val>
          <c:extLst>
            <c:ext xmlns:c16="http://schemas.microsoft.com/office/drawing/2014/chart" uri="{C3380CC4-5D6E-409C-BE32-E72D297353CC}">
              <c16:uniqueId val="{00000001-3111-4A7F-A880-442FEC4A9025}"/>
            </c:ext>
          </c:extLst>
        </c:ser>
        <c:ser>
          <c:idx val="2"/>
          <c:order val="2"/>
          <c:tx>
            <c:strRef>
              <c:f>'Trial Deposits Engine'!$G$209</c:f>
              <c:strCache>
                <c:ptCount val="1"/>
                <c:pt idx="0">
                  <c:v>Interest Income on RfR balance</c:v>
                </c:pt>
              </c:strCache>
            </c:strRef>
          </c:tx>
          <c:spPr>
            <a:ln w="25400">
              <a:noFill/>
            </a:ln>
          </c:spPr>
          <c:invertIfNegative val="0"/>
          <c:cat>
            <c:numRef>
              <c:f>'Trial Deposits Engine'!$H$208:$AA$208</c:f>
              <c:numCache>
                <c:formatCode>0</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Engine'!$H$209:$AA$209</c:f>
              <c:numCache>
                <c:formatCode>"$"#,##0.0_);[Red]\("$"#,##0.0\)</c:formatCode>
                <c:ptCount val="20"/>
                <c:pt idx="0">
                  <c:v>2000</c:v>
                </c:pt>
                <c:pt idx="1">
                  <c:v>2218</c:v>
                </c:pt>
                <c:pt idx="2">
                  <c:v>3453.48</c:v>
                </c:pt>
                <c:pt idx="3">
                  <c:v>2660.8109999999997</c:v>
                </c:pt>
                <c:pt idx="4">
                  <c:v>2283.2719409999995</c:v>
                </c:pt>
                <c:pt idx="5">
                  <c:v>1865.5883716349995</c:v>
                </c:pt>
                <c:pt idx="6">
                  <c:v>1488.8541957599246</c:v>
                </c:pt>
                <c:pt idx="7">
                  <c:v>1540.1672472177313</c:v>
                </c:pt>
                <c:pt idx="8">
                  <c:v>1241.0243992178334</c:v>
                </c:pt>
                <c:pt idx="9">
                  <c:v>1153.9476013637739</c:v>
                </c:pt>
                <c:pt idx="10">
                  <c:v>1072.5243082650568</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2-3111-4A7F-A880-442FEC4A9025}"/>
            </c:ext>
          </c:extLst>
        </c:ser>
        <c:ser>
          <c:idx val="3"/>
          <c:order val="3"/>
          <c:tx>
            <c:strRef>
              <c:f>'Trial Deposits Engine'!$G$212</c:f>
              <c:strCache>
                <c:ptCount val="1"/>
                <c:pt idx="0">
                  <c:v>Note: Highest Annual Withdrawal to equalize Sources and Needs graphs scales</c:v>
                </c:pt>
              </c:strCache>
            </c:strRef>
          </c:tx>
          <c:invertIfNegative val="0"/>
          <c:cat>
            <c:numRef>
              <c:f>'Trial Deposits Engine'!$H$208:$AA$208</c:f>
              <c:numCache>
                <c:formatCode>0</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Engine'!$H$212:$AB$212</c:f>
              <c:numCache>
                <c:formatCode>"$"#,##0.0_);[Red]\("$"#,##0.0\)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296486</c:v>
                </c:pt>
              </c:numCache>
            </c:numRef>
          </c:val>
          <c:extLst>
            <c:ext xmlns:c16="http://schemas.microsoft.com/office/drawing/2014/chart" uri="{C3380CC4-5D6E-409C-BE32-E72D297353CC}">
              <c16:uniqueId val="{00000003-3111-4A7F-A880-442FEC4A9025}"/>
            </c:ext>
          </c:extLst>
        </c:ser>
        <c:dLbls>
          <c:showLegendKey val="0"/>
          <c:showVal val="0"/>
          <c:showCatName val="0"/>
          <c:showSerName val="0"/>
          <c:showPercent val="0"/>
          <c:showBubbleSize val="0"/>
        </c:dLbls>
        <c:gapWidth val="150"/>
        <c:overlap val="100"/>
        <c:axId val="39129856"/>
        <c:axId val="39131776"/>
      </c:barChart>
      <c:catAx>
        <c:axId val="39129856"/>
        <c:scaling>
          <c:orientation val="minMax"/>
        </c:scaling>
        <c:delete val="0"/>
        <c:axPos val="b"/>
        <c:title>
          <c:tx>
            <c:rich>
              <a:bodyPr/>
              <a:lstStyle/>
              <a:p>
                <a:pPr>
                  <a:defRPr/>
                </a:pPr>
                <a:r>
                  <a:rPr lang="en-US"/>
                  <a:t>Relative Year</a:t>
                </a:r>
              </a:p>
            </c:rich>
          </c:tx>
          <c:overlay val="0"/>
        </c:title>
        <c:numFmt formatCode="0" sourceLinked="1"/>
        <c:majorTickMark val="out"/>
        <c:minorTickMark val="none"/>
        <c:tickLblPos val="nextTo"/>
        <c:crossAx val="39131776"/>
        <c:crosses val="autoZero"/>
        <c:auto val="1"/>
        <c:lblAlgn val="ctr"/>
        <c:lblOffset val="100"/>
        <c:noMultiLvlLbl val="0"/>
      </c:catAx>
      <c:valAx>
        <c:axId val="39131776"/>
        <c:scaling>
          <c:orientation val="minMax"/>
        </c:scaling>
        <c:delete val="0"/>
        <c:axPos val="l"/>
        <c:majorGridlines/>
        <c:numFmt formatCode="&quot;$&quot;#,##0_);[Red]\(&quot;$&quot;#,##0\)" sourceLinked="0"/>
        <c:majorTickMark val="out"/>
        <c:minorTickMark val="none"/>
        <c:tickLblPos val="nextTo"/>
        <c:crossAx val="39129856"/>
        <c:crosses val="autoZero"/>
        <c:crossBetween val="between"/>
      </c:valAx>
    </c:plotArea>
    <c:legend>
      <c:legendPos val="r"/>
      <c:layout>
        <c:manualLayout>
          <c:xMode val="edge"/>
          <c:yMode val="edge"/>
          <c:x val="0.14731441588669375"/>
          <c:y val="0.21501017192128091"/>
          <c:w val="0.46143271278318077"/>
          <c:h val="0.31591689593017813"/>
        </c:manualLayout>
      </c:layout>
      <c:overlay val="0"/>
      <c:spPr>
        <a:solidFill>
          <a:schemeClr val="accent1">
            <a:lumMod val="20000"/>
            <a:lumOff val="80000"/>
          </a:schemeClr>
        </a:solidFill>
        <a:ln>
          <a:solidFill>
            <a:schemeClr val="tx1"/>
          </a:solidFill>
        </a:ln>
      </c:spPr>
      <c:txPr>
        <a:bodyPr/>
        <a:lstStyle/>
        <a:p>
          <a:pPr>
            <a:defRPr lang="en-US" sz="1000" b="0" i="0" u="none" strike="noStrike" kern="1200" baseline="0">
              <a:solidFill>
                <a:sysClr val="windowText" lastClr="000000"/>
              </a:solidFill>
              <a:latin typeface="+mn-lt"/>
              <a:ea typeface="+mn-ea"/>
              <a:cs typeface="+mn-cs"/>
            </a:defRPr>
          </a:pPr>
          <a:endParaRPr lang="en-US"/>
        </a:p>
      </c:txPr>
    </c:legend>
    <c:plotVisOnly val="1"/>
    <c:dispBlanksAs val="zero"/>
    <c:showDLblsOverMax val="0"/>
  </c:chart>
  <c:printSettings>
    <c:headerFooter/>
    <c:pageMargins b="0.75000000000000078" l="0.70000000000000062" r="0.70000000000000062" t="0.75000000000000078"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Duration Adjusted Annual Needs Showing Inflationary Adjustments</a:t>
            </a:r>
          </a:p>
        </c:rich>
      </c:tx>
      <c:layout>
        <c:manualLayout>
          <c:xMode val="edge"/>
          <c:yMode val="edge"/>
          <c:x val="0.13341805516627969"/>
          <c:y val="6.7476383265856948E-2"/>
        </c:manualLayout>
      </c:layout>
      <c:overlay val="1"/>
    </c:title>
    <c:autoTitleDeleted val="0"/>
    <c:plotArea>
      <c:layout>
        <c:manualLayout>
          <c:layoutTarget val="inner"/>
          <c:xMode val="edge"/>
          <c:yMode val="edge"/>
          <c:x val="0.12752471158496492"/>
          <c:y val="0.26862009595739339"/>
          <c:w val="0.81055650652364108"/>
          <c:h val="0.63399738298018948"/>
        </c:manualLayout>
      </c:layout>
      <c:barChart>
        <c:barDir val="col"/>
        <c:grouping val="stacked"/>
        <c:varyColors val="0"/>
        <c:ser>
          <c:idx val="0"/>
          <c:order val="0"/>
          <c:tx>
            <c:strRef>
              <c:f>'Trial Deposits Engine'!$G$216</c:f>
              <c:strCache>
                <c:ptCount val="1"/>
                <c:pt idx="0">
                  <c:v>Duration Adjusted Uninflated Needs</c:v>
                </c:pt>
              </c:strCache>
            </c:strRef>
          </c:tx>
          <c:spPr>
            <a:solidFill>
              <a:srgbClr val="FF0000"/>
            </a:solidFill>
          </c:spPr>
          <c:invertIfNegative val="0"/>
          <c:cat>
            <c:numRef>
              <c:f>'Trial Deposits Engine'!$H$215:$AA$215</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Engine'!$H$216:$AA$216</c:f>
              <c:numCache>
                <c:formatCode>"$"#,##0_);[Red]\("$"#,##0\)</c:formatCode>
                <c:ptCount val="20"/>
                <c:pt idx="0">
                  <c:v>0</c:v>
                </c:pt>
                <c:pt idx="1">
                  <c:v>-13707.843137254902</c:v>
                </c:pt>
                <c:pt idx="2">
                  <c:v>-73911.956939638607</c:v>
                </c:pt>
                <c:pt idx="3">
                  <c:v>-46024.907463946751</c:v>
                </c:pt>
                <c:pt idx="4">
                  <c:v>-47634.394011353099</c:v>
                </c:pt>
                <c:pt idx="5">
                  <c:v>-44237.704213712757</c:v>
                </c:pt>
                <c:pt idx="6">
                  <c:v>-18084.425169603986</c:v>
                </c:pt>
                <c:pt idx="7">
                  <c:v>-38502.265019557562</c:v>
                </c:pt>
                <c:pt idx="8">
                  <c:v>-25813.81627664492</c:v>
                </c:pt>
                <c:pt idx="9">
                  <c:v>-25307.663016318547</c:v>
                </c:pt>
                <c:pt idx="10">
                  <c:v>-109674.82525520911</c:v>
                </c:pt>
                <c:pt idx="11">
                  <c:v>-103489.3508183681</c:v>
                </c:pt>
                <c:pt idx="12">
                  <c:v>-44082.287967243654</c:v>
                </c:pt>
                <c:pt idx="13">
                  <c:v>-53928.295014634808</c:v>
                </c:pt>
                <c:pt idx="14">
                  <c:v>-89451.989152155787</c:v>
                </c:pt>
                <c:pt idx="15">
                  <c:v>-10294.469083990929</c:v>
                </c:pt>
                <c:pt idx="16">
                  <c:v>0</c:v>
                </c:pt>
                <c:pt idx="17">
                  <c:v>-31298.888462588264</c:v>
                </c:pt>
                <c:pt idx="18">
                  <c:v>-25814.175995607555</c:v>
                </c:pt>
                <c:pt idx="19">
                  <c:v>-203517.11024123302</c:v>
                </c:pt>
              </c:numCache>
            </c:numRef>
          </c:val>
          <c:extLst>
            <c:ext xmlns:c16="http://schemas.microsoft.com/office/drawing/2014/chart" uri="{C3380CC4-5D6E-409C-BE32-E72D297353CC}">
              <c16:uniqueId val="{00000000-712B-4965-9A27-C2B50382DBED}"/>
            </c:ext>
          </c:extLst>
        </c:ser>
        <c:ser>
          <c:idx val="1"/>
          <c:order val="1"/>
          <c:tx>
            <c:strRef>
              <c:f>'Trial Deposits Engine'!$G$217</c:f>
              <c:strCache>
                <c:ptCount val="1"/>
                <c:pt idx="0">
                  <c:v>Inflation in Needs Amount</c:v>
                </c:pt>
              </c:strCache>
            </c:strRef>
          </c:tx>
          <c:invertIfNegative val="0"/>
          <c:cat>
            <c:numRef>
              <c:f>'Trial Deposits Engine'!$H$215:$AA$215</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Engine'!$H$217:$AA$217</c:f>
              <c:numCache>
                <c:formatCode>"$"#,##0_);[Red]\("$"#,##0\)</c:formatCode>
                <c:ptCount val="20"/>
                <c:pt idx="0">
                  <c:v>0</c:v>
                </c:pt>
                <c:pt idx="1">
                  <c:v>-274.15686274509829</c:v>
                </c:pt>
                <c:pt idx="2">
                  <c:v>-2986.0430603613991</c:v>
                </c:pt>
                <c:pt idx="3">
                  <c:v>-2817.0925360532497</c:v>
                </c:pt>
                <c:pt idx="4">
                  <c:v>-3926.6059886468993</c:v>
                </c:pt>
                <c:pt idx="5">
                  <c:v>-4604.295786287249</c:v>
                </c:pt>
                <c:pt idx="6">
                  <c:v>-2281.5748303960136</c:v>
                </c:pt>
                <c:pt idx="7">
                  <c:v>-5724.7349804424366</c:v>
                </c:pt>
                <c:pt idx="8">
                  <c:v>-4431.1837233550796</c:v>
                </c:pt>
                <c:pt idx="9">
                  <c:v>-4937.33698368145</c:v>
                </c:pt>
                <c:pt idx="10">
                  <c:v>-24018.174744790882</c:v>
                </c:pt>
                <c:pt idx="11">
                  <c:v>-25186.649181631896</c:v>
                </c:pt>
                <c:pt idx="12">
                  <c:v>-11824.712032756343</c:v>
                </c:pt>
                <c:pt idx="13">
                  <c:v>-15833.704985365188</c:v>
                </c:pt>
                <c:pt idx="14">
                  <c:v>-28578.010847844209</c:v>
                </c:pt>
                <c:pt idx="15">
                  <c:v>-3560.5309160090701</c:v>
                </c:pt>
                <c:pt idx="16">
                  <c:v>0</c:v>
                </c:pt>
                <c:pt idx="17">
                  <c:v>-12527.111537411738</c:v>
                </c:pt>
                <c:pt idx="18">
                  <c:v>-11054.824004392447</c:v>
                </c:pt>
                <c:pt idx="19">
                  <c:v>-92968.889758766949</c:v>
                </c:pt>
              </c:numCache>
            </c:numRef>
          </c:val>
          <c:extLst>
            <c:ext xmlns:c16="http://schemas.microsoft.com/office/drawing/2014/chart" uri="{C3380CC4-5D6E-409C-BE32-E72D297353CC}">
              <c16:uniqueId val="{00000001-712B-4965-9A27-C2B50382DBED}"/>
            </c:ext>
          </c:extLst>
        </c:ser>
        <c:dLbls>
          <c:showLegendKey val="0"/>
          <c:showVal val="0"/>
          <c:showCatName val="0"/>
          <c:showSerName val="0"/>
          <c:showPercent val="0"/>
          <c:showBubbleSize val="0"/>
        </c:dLbls>
        <c:gapWidth val="150"/>
        <c:overlap val="100"/>
        <c:axId val="39154432"/>
        <c:axId val="39156352"/>
      </c:barChart>
      <c:catAx>
        <c:axId val="39154432"/>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39156352"/>
        <c:crosses val="autoZero"/>
        <c:auto val="1"/>
        <c:lblAlgn val="ctr"/>
        <c:lblOffset val="100"/>
        <c:noMultiLvlLbl val="0"/>
      </c:catAx>
      <c:valAx>
        <c:axId val="39156352"/>
        <c:scaling>
          <c:orientation val="minMax"/>
        </c:scaling>
        <c:delete val="0"/>
        <c:axPos val="l"/>
        <c:majorGridlines/>
        <c:numFmt formatCode="&quot;$&quot;#,##0_);[Red]\(&quot;$&quot;#,##0\)" sourceLinked="1"/>
        <c:majorTickMark val="out"/>
        <c:minorTickMark val="none"/>
        <c:tickLblPos val="nextTo"/>
        <c:crossAx val="39154432"/>
        <c:crosses val="autoZero"/>
        <c:crossBetween val="between"/>
      </c:valAx>
    </c:plotArea>
    <c:legend>
      <c:legendPos val="r"/>
      <c:layout>
        <c:manualLayout>
          <c:xMode val="edge"/>
          <c:yMode val="edge"/>
          <c:x val="0.18189074191812979"/>
          <c:y val="0.32442811995439419"/>
          <c:w val="0.21993796967990631"/>
          <c:h val="9.7416368408494491E-2"/>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0.1343073700640155"/>
          <c:y val="0.27576859795510666"/>
          <c:w val="0.79370549929505663"/>
          <c:h val="0.62726720727073304"/>
        </c:manualLayout>
      </c:layout>
      <c:barChart>
        <c:barDir val="col"/>
        <c:grouping val="stacked"/>
        <c:varyColors val="0"/>
        <c:ser>
          <c:idx val="1"/>
          <c:order val="1"/>
          <c:tx>
            <c:strRef>
              <c:f>'Trial Deposits Engine'!$G$222</c:f>
              <c:strCache>
                <c:ptCount val="1"/>
                <c:pt idx="0">
                  <c:v>Net Annual Change in R4R</c:v>
                </c:pt>
              </c:strCache>
            </c:strRef>
          </c:tx>
          <c:spPr>
            <a:solidFill>
              <a:srgbClr val="0099CC"/>
            </a:solidFill>
          </c:spPr>
          <c:invertIfNegative val="0"/>
          <c:val>
            <c:numRef>
              <c:f>'Trial Deposits Engine'!$H$222:$AA$222</c:f>
              <c:numCache>
                <c:formatCode>"$"#,##0.00_);[Red]\("$"#,##0.00\)</c:formatCode>
                <c:ptCount val="20"/>
                <c:pt idx="0">
                  <c:v>21800</c:v>
                </c:pt>
                <c:pt idx="1">
                  <c:v>8432</c:v>
                </c:pt>
                <c:pt idx="2">
                  <c:v>-52844.600000000006</c:v>
                </c:pt>
                <c:pt idx="3">
                  <c:v>-25169.2706</c:v>
                </c:pt>
                <c:pt idx="4">
                  <c:v>-27845.571291</c:v>
                </c:pt>
                <c:pt idx="5">
                  <c:v>-25115.611725005008</c:v>
                </c:pt>
                <c:pt idx="6">
                  <c:v>3420.8700971871222</c:v>
                </c:pt>
                <c:pt idx="7">
                  <c:v>-19942.856533326525</c:v>
                </c:pt>
                <c:pt idx="8">
                  <c:v>-5805.1198569373046</c:v>
                </c:pt>
                <c:pt idx="9">
                  <c:v>-5428.2195399144657</c:v>
                </c:pt>
                <c:pt idx="10">
                  <c:v>-108484.38617583875</c:v>
                </c:pt>
                <c:pt idx="11">
                  <c:v>-104057.18869378588</c:v>
                </c:pt>
                <c:pt idx="12">
                  <c:v>-30795.812467661599</c:v>
                </c:pt>
                <c:pt idx="13">
                  <c:v>-44148.588717014834</c:v>
                </c:pt>
                <c:pt idx="14">
                  <c:v>-91904.320491355131</c:v>
                </c:pt>
                <c:pt idx="15">
                  <c:v>12793.19309881777</c:v>
                </c:pt>
                <c:pt idx="16">
                  <c:v>27181.156960794127</c:v>
                </c:pt>
                <c:pt idx="17">
                  <c:v>-16101.219899989988</c:v>
                </c:pt>
                <c:pt idx="18">
                  <c:v>-8589.7242979897856</c:v>
                </c:pt>
                <c:pt idx="19">
                  <c:v>-267641.1387839496</c:v>
                </c:pt>
              </c:numCache>
            </c:numRef>
          </c:val>
          <c:extLst>
            <c:ext xmlns:c16="http://schemas.microsoft.com/office/drawing/2014/chart" uri="{C3380CC4-5D6E-409C-BE32-E72D297353CC}">
              <c16:uniqueId val="{00000000-B4B0-48BB-A67B-234CD17F37B1}"/>
            </c:ext>
          </c:extLst>
        </c:ser>
        <c:dLbls>
          <c:showLegendKey val="0"/>
          <c:showVal val="0"/>
          <c:showCatName val="0"/>
          <c:showSerName val="0"/>
          <c:showPercent val="0"/>
          <c:showBubbleSize val="0"/>
        </c:dLbls>
        <c:gapWidth val="150"/>
        <c:overlap val="100"/>
        <c:axId val="91143168"/>
        <c:axId val="91145344"/>
        <c:extLst>
          <c:ext xmlns:c15="http://schemas.microsoft.com/office/drawing/2012/chart" uri="{02D57815-91ED-43cb-92C2-25804820EDAC}">
            <c15:filteredBarSeries>
              <c15:ser>
                <c:idx val="0"/>
                <c:order val="0"/>
                <c:tx>
                  <c:strRef>
                    <c:extLst>
                      <c:ext uri="{02D57815-91ED-43cb-92C2-25804820EDAC}">
                        <c15:formulaRef>
                          <c15:sqref>'Trial Deposits Engine'!$G$221</c15:sqref>
                        </c15:formulaRef>
                      </c:ext>
                    </c:extLst>
                    <c:strCache>
                      <c:ptCount val="1"/>
                      <c:pt idx="0">
                        <c:v>Year of Deposit or Withdraw</c:v>
                      </c:pt>
                    </c:strCache>
                  </c:strRef>
                </c:tx>
                <c:invertIfNegative val="0"/>
                <c:val>
                  <c:numRef>
                    <c:extLst>
                      <c:ext uri="{02D57815-91ED-43cb-92C2-25804820EDAC}">
                        <c15:formulaRef>
                          <c15:sqref>'Trial Deposits Engine'!$H$221:$AA$221</c15:sqref>
                        </c15:formulaRef>
                      </c:ext>
                    </c:extLst>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val>
                <c:extLst>
                  <c:ext xmlns:c16="http://schemas.microsoft.com/office/drawing/2014/chart" uri="{C3380CC4-5D6E-409C-BE32-E72D297353CC}">
                    <c16:uniqueId val="{00000000-1AE7-4FD6-B590-93D2EDEA4615}"/>
                  </c:ext>
                </c:extLst>
              </c15:ser>
            </c15:filteredBarSeries>
          </c:ext>
        </c:extLst>
      </c:barChart>
      <c:catAx>
        <c:axId val="91143168"/>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91145344"/>
        <c:crosses val="autoZero"/>
        <c:auto val="1"/>
        <c:lblAlgn val="ctr"/>
        <c:lblOffset val="100"/>
        <c:noMultiLvlLbl val="0"/>
      </c:catAx>
      <c:valAx>
        <c:axId val="91145344"/>
        <c:scaling>
          <c:orientation val="minMax"/>
        </c:scaling>
        <c:delete val="0"/>
        <c:axPos val="l"/>
        <c:majorGridlines/>
        <c:numFmt formatCode="&quot;$&quot;#,##0.00_);[Red]\(&quot;$&quot;#,##0.00\)" sourceLinked="1"/>
        <c:majorTickMark val="out"/>
        <c:minorTickMark val="none"/>
        <c:tickLblPos val="nextTo"/>
        <c:crossAx val="91143168"/>
        <c:crosses val="autoZero"/>
        <c:crossBetween val="between"/>
      </c:valAx>
    </c:plotArea>
    <c:legend>
      <c:legendPos val="r"/>
      <c:layout>
        <c:manualLayout>
          <c:xMode val="edge"/>
          <c:yMode val="edge"/>
          <c:x val="0.31207564218407124"/>
          <c:y val="0.56784887183219745"/>
          <c:w val="0.22446265938069218"/>
          <c:h val="5.0652418447694039E-2"/>
        </c:manualLayout>
      </c:layout>
      <c:overlay val="0"/>
      <c:spPr>
        <a:solidFill>
          <a:schemeClr val="accent1">
            <a:lumMod val="20000"/>
            <a:lumOff val="80000"/>
          </a:schemeClr>
        </a:solidFill>
        <a:ln>
          <a:solidFill>
            <a:schemeClr val="tx1"/>
          </a:solidFill>
        </a:ln>
      </c:spPr>
    </c:legend>
    <c:plotVisOnly val="1"/>
    <c:dispBlanksAs val="gap"/>
    <c:showDLblsOverMax val="0"/>
  </c:chart>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Sources for funding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2143028945421092"/>
          <c:y val="0.19705063390421468"/>
          <c:w val="0.82122641949426745"/>
          <c:h val="0.70448937581491888"/>
        </c:manualLayout>
      </c:layout>
      <c:areaChart>
        <c:grouping val="stacked"/>
        <c:varyColors val="0"/>
        <c:ser>
          <c:idx val="1"/>
          <c:order val="0"/>
          <c:tx>
            <c:strRef>
              <c:f>'Trial Deposits Engine'!$G$227</c:f>
              <c:strCache>
                <c:ptCount val="1"/>
                <c:pt idx="0">
                  <c:v>Initial Deposit</c:v>
                </c:pt>
              </c:strCache>
            </c:strRef>
          </c:tx>
          <c:val>
            <c:numRef>
              <c:f>'Trial Deposits Engine'!$H$227:$AA$227</c:f>
              <c:numCache>
                <c:formatCode>"$"#,##0</c:formatCode>
                <c:ptCount val="20"/>
                <c:pt idx="0">
                  <c:v>200000</c:v>
                </c:pt>
                <c:pt idx="1">
                  <c:v>200000</c:v>
                </c:pt>
                <c:pt idx="2">
                  <c:v>200000</c:v>
                </c:pt>
                <c:pt idx="3">
                  <c:v>200000</c:v>
                </c:pt>
                <c:pt idx="4">
                  <c:v>200000</c:v>
                </c:pt>
                <c:pt idx="5">
                  <c:v>200000</c:v>
                </c:pt>
                <c:pt idx="6">
                  <c:v>200000</c:v>
                </c:pt>
                <c:pt idx="7">
                  <c:v>200000</c:v>
                </c:pt>
                <c:pt idx="8">
                  <c:v>200000</c:v>
                </c:pt>
                <c:pt idx="9">
                  <c:v>200000</c:v>
                </c:pt>
                <c:pt idx="10">
                  <c:v>200000</c:v>
                </c:pt>
                <c:pt idx="11">
                  <c:v>200000</c:v>
                </c:pt>
                <c:pt idx="12">
                  <c:v>200000</c:v>
                </c:pt>
                <c:pt idx="13">
                  <c:v>200000</c:v>
                </c:pt>
                <c:pt idx="14">
                  <c:v>200000</c:v>
                </c:pt>
                <c:pt idx="15">
                  <c:v>200000</c:v>
                </c:pt>
                <c:pt idx="16">
                  <c:v>200000</c:v>
                </c:pt>
                <c:pt idx="17">
                  <c:v>200000</c:v>
                </c:pt>
                <c:pt idx="18">
                  <c:v>200000</c:v>
                </c:pt>
                <c:pt idx="19">
                  <c:v>200000</c:v>
                </c:pt>
              </c:numCache>
            </c:numRef>
          </c:val>
          <c:extLst>
            <c:ext xmlns:c16="http://schemas.microsoft.com/office/drawing/2014/chart" uri="{C3380CC4-5D6E-409C-BE32-E72D297353CC}">
              <c16:uniqueId val="{00000000-8531-4083-AAD4-944FEFD41EE7}"/>
            </c:ext>
          </c:extLst>
        </c:ser>
        <c:ser>
          <c:idx val="2"/>
          <c:order val="1"/>
          <c:tx>
            <c:strRef>
              <c:f>'Trial Deposits Engine'!$G$228</c:f>
              <c:strCache>
                <c:ptCount val="1"/>
                <c:pt idx="0">
                  <c:v>Interest Income on RfR balance</c:v>
                </c:pt>
              </c:strCache>
            </c:strRef>
          </c:tx>
          <c:val>
            <c:numRef>
              <c:f>'Trial Deposits Engine'!$H$228:$AA$228</c:f>
              <c:numCache>
                <c:formatCode>"$"#,##0</c:formatCode>
                <c:ptCount val="20"/>
                <c:pt idx="0">
                  <c:v>2000</c:v>
                </c:pt>
                <c:pt idx="1">
                  <c:v>4218</c:v>
                </c:pt>
                <c:pt idx="2">
                  <c:v>7671.48</c:v>
                </c:pt>
                <c:pt idx="3">
                  <c:v>10332.290999999999</c:v>
                </c:pt>
                <c:pt idx="4">
                  <c:v>12615.562940999998</c:v>
                </c:pt>
                <c:pt idx="5">
                  <c:v>14481.151312634998</c:v>
                </c:pt>
                <c:pt idx="6">
                  <c:v>15970.005508394923</c:v>
                </c:pt>
                <c:pt idx="7">
                  <c:v>17510.172755612653</c:v>
                </c:pt>
                <c:pt idx="8">
                  <c:v>18751.197154830486</c:v>
                </c:pt>
                <c:pt idx="9">
                  <c:v>19905.144756194259</c:v>
                </c:pt>
                <c:pt idx="10">
                  <c:v>20977.669064459315</c:v>
                </c:pt>
                <c:pt idx="11">
                  <c:v>20977.669064459315</c:v>
                </c:pt>
                <c:pt idx="12">
                  <c:v>20977.669064459315</c:v>
                </c:pt>
                <c:pt idx="13">
                  <c:v>20977.669064459315</c:v>
                </c:pt>
                <c:pt idx="14">
                  <c:v>20977.669064459315</c:v>
                </c:pt>
                <c:pt idx="15">
                  <c:v>20977.669064459315</c:v>
                </c:pt>
                <c:pt idx="16">
                  <c:v>20977.669064459315</c:v>
                </c:pt>
                <c:pt idx="17">
                  <c:v>20977.669064459315</c:v>
                </c:pt>
                <c:pt idx="18">
                  <c:v>20977.669064459315</c:v>
                </c:pt>
                <c:pt idx="19">
                  <c:v>20977.669064459315</c:v>
                </c:pt>
              </c:numCache>
            </c:numRef>
          </c:val>
          <c:extLst>
            <c:ext xmlns:c16="http://schemas.microsoft.com/office/drawing/2014/chart" uri="{C3380CC4-5D6E-409C-BE32-E72D297353CC}">
              <c16:uniqueId val="{00000001-8531-4083-AAD4-944FEFD41EE7}"/>
            </c:ext>
          </c:extLst>
        </c:ser>
        <c:ser>
          <c:idx val="3"/>
          <c:order val="2"/>
          <c:tx>
            <c:strRef>
              <c:f>'Trial Deposits Engine'!$G$229</c:f>
              <c:strCache>
                <c:ptCount val="1"/>
                <c:pt idx="0">
                  <c:v>Base Annual RfR Deposit</c:v>
                </c:pt>
              </c:strCache>
            </c:strRef>
          </c:tx>
          <c:val>
            <c:numRef>
              <c:f>'Trial Deposits Engine'!$H$229:$AA$229</c:f>
              <c:numCache>
                <c:formatCode>"$"#,##0</c:formatCode>
                <c:ptCount val="20"/>
                <c:pt idx="0">
                  <c:v>19800</c:v>
                </c:pt>
                <c:pt idx="1">
                  <c:v>39600</c:v>
                </c:pt>
                <c:pt idx="2">
                  <c:v>59400</c:v>
                </c:pt>
                <c:pt idx="3">
                  <c:v>79200</c:v>
                </c:pt>
                <c:pt idx="4">
                  <c:v>99000</c:v>
                </c:pt>
                <c:pt idx="5">
                  <c:v>118800</c:v>
                </c:pt>
                <c:pt idx="6">
                  <c:v>138600</c:v>
                </c:pt>
                <c:pt idx="7">
                  <c:v>158400</c:v>
                </c:pt>
                <c:pt idx="8">
                  <c:v>178200</c:v>
                </c:pt>
                <c:pt idx="9">
                  <c:v>198000</c:v>
                </c:pt>
                <c:pt idx="10">
                  <c:v>217800</c:v>
                </c:pt>
                <c:pt idx="11">
                  <c:v>237600</c:v>
                </c:pt>
                <c:pt idx="12">
                  <c:v>257400</c:v>
                </c:pt>
                <c:pt idx="13">
                  <c:v>277200</c:v>
                </c:pt>
                <c:pt idx="14">
                  <c:v>297000</c:v>
                </c:pt>
                <c:pt idx="15">
                  <c:v>316800</c:v>
                </c:pt>
                <c:pt idx="16">
                  <c:v>336600</c:v>
                </c:pt>
                <c:pt idx="17">
                  <c:v>356400</c:v>
                </c:pt>
                <c:pt idx="18">
                  <c:v>376200</c:v>
                </c:pt>
                <c:pt idx="19">
                  <c:v>396000</c:v>
                </c:pt>
              </c:numCache>
            </c:numRef>
          </c:val>
          <c:extLst>
            <c:ext xmlns:c16="http://schemas.microsoft.com/office/drawing/2014/chart" uri="{C3380CC4-5D6E-409C-BE32-E72D297353CC}">
              <c16:uniqueId val="{00000002-8531-4083-AAD4-944FEFD41EE7}"/>
            </c:ext>
          </c:extLst>
        </c:ser>
        <c:ser>
          <c:idx val="4"/>
          <c:order val="3"/>
          <c:tx>
            <c:strRef>
              <c:f>'Trial Deposits Engine'!$G$230</c:f>
              <c:strCache>
                <c:ptCount val="1"/>
                <c:pt idx="0">
                  <c:v>Inflationary Increase in Annual Deposit</c:v>
                </c:pt>
              </c:strCache>
            </c:strRef>
          </c:tx>
          <c:val>
            <c:numRef>
              <c:f>'Trial Deposits Engine'!$H$230:$AA$230</c:f>
              <c:numCache>
                <c:formatCode>"$"#,##0</c:formatCode>
                <c:ptCount val="20"/>
                <c:pt idx="0">
                  <c:v>0</c:v>
                </c:pt>
                <c:pt idx="1">
                  <c:v>396.00000000000034</c:v>
                </c:pt>
                <c:pt idx="2">
                  <c:v>1195.92</c:v>
                </c:pt>
                <c:pt idx="3">
                  <c:v>2407.8383999999987</c:v>
                </c:pt>
                <c:pt idx="4">
                  <c:v>4039.9951679999986</c:v>
                </c:pt>
                <c:pt idx="5">
                  <c:v>6100.7950713599985</c:v>
                </c:pt>
                <c:pt idx="6">
                  <c:v>8598.8109727871997</c:v>
                </c:pt>
                <c:pt idx="7">
                  <c:v>11542.787192242944</c:v>
                </c:pt>
                <c:pt idx="8">
                  <c:v>14941.642936087806</c:v>
                </c:pt>
                <c:pt idx="9">
                  <c:v>18804.475794809565</c:v>
                </c:pt>
                <c:pt idx="10">
                  <c:v>23140.565310705759</c:v>
                </c:pt>
                <c:pt idx="11">
                  <c:v>27959.376616919879</c:v>
                </c:pt>
                <c:pt idx="12">
                  <c:v>33270.56414925828</c:v>
                </c:pt>
                <c:pt idx="13">
                  <c:v>39083.975432243446</c:v>
                </c:pt>
                <c:pt idx="14">
                  <c:v>45409.654940888315</c:v>
                </c:pt>
                <c:pt idx="15">
                  <c:v>52257.848039706085</c:v>
                </c:pt>
                <c:pt idx="16">
                  <c:v>59639.005000500212</c:v>
                </c:pt>
                <c:pt idx="17">
                  <c:v>67563.785100510227</c:v>
                </c:pt>
                <c:pt idx="18">
                  <c:v>76043.060802520442</c:v>
                </c:pt>
                <c:pt idx="19">
                  <c:v>85087.922018570855</c:v>
                </c:pt>
              </c:numCache>
            </c:numRef>
          </c:val>
          <c:extLst>
            <c:ext xmlns:c16="http://schemas.microsoft.com/office/drawing/2014/chart" uri="{C3380CC4-5D6E-409C-BE32-E72D297353CC}">
              <c16:uniqueId val="{00000003-8531-4083-AAD4-944FEFD41EE7}"/>
            </c:ext>
          </c:extLst>
        </c:ser>
        <c:dLbls>
          <c:showLegendKey val="0"/>
          <c:showVal val="0"/>
          <c:showCatName val="0"/>
          <c:showSerName val="0"/>
          <c:showPercent val="0"/>
          <c:showBubbleSize val="0"/>
        </c:dLbls>
        <c:axId val="39218176"/>
        <c:axId val="39220352"/>
      </c:areaChart>
      <c:lineChart>
        <c:grouping val="standard"/>
        <c:varyColors val="0"/>
        <c:ser>
          <c:idx val="0"/>
          <c:order val="4"/>
          <c:tx>
            <c:strRef>
              <c:f>'Trial Deposits Engine'!$G$231</c:f>
              <c:strCache>
                <c:ptCount val="1"/>
                <c:pt idx="0">
                  <c:v>Accumulated Sources</c:v>
                </c:pt>
              </c:strCache>
            </c:strRef>
          </c:tx>
          <c:spPr>
            <a:ln>
              <a:solidFill>
                <a:srgbClr val="C00000"/>
              </a:solidFill>
            </a:ln>
          </c:spPr>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'Trial Deposits Engine'!$H$231:$AA$231</c:f>
              <c:numCache>
                <c:formatCode>"$"#,##0</c:formatCode>
                <c:ptCount val="20"/>
                <c:pt idx="0">
                  <c:v>221800</c:v>
                </c:pt>
                <c:pt idx="1">
                  <c:v>244214</c:v>
                </c:pt>
                <c:pt idx="2">
                  <c:v>268267.39999999997</c:v>
                </c:pt>
                <c:pt idx="3">
                  <c:v>291940.12939999998</c:v>
                </c:pt>
                <c:pt idx="4">
                  <c:v>315655.55810899998</c:v>
                </c:pt>
                <c:pt idx="5">
                  <c:v>339381.946383995</c:v>
                </c:pt>
                <c:pt idx="6">
                  <c:v>363168.81648118212</c:v>
                </c:pt>
                <c:pt idx="7">
                  <c:v>387452.95994785556</c:v>
                </c:pt>
                <c:pt idx="8">
                  <c:v>411892.8400909183</c:v>
                </c:pt>
                <c:pt idx="9">
                  <c:v>436709.62055100384</c:v>
                </c:pt>
                <c:pt idx="10">
                  <c:v>461918.23437516502</c:v>
                </c:pt>
                <c:pt idx="11">
                  <c:v>486537.04568137915</c:v>
                </c:pt>
                <c:pt idx="12">
                  <c:v>511648.23321371758</c:v>
                </c:pt>
                <c:pt idx="13">
                  <c:v>537261.64449670271</c:v>
                </c:pt>
                <c:pt idx="14">
                  <c:v>563387.32400534756</c:v>
                </c:pt>
                <c:pt idx="15">
                  <c:v>590035.5171041654</c:v>
                </c:pt>
                <c:pt idx="16">
                  <c:v>617216.67406495952</c:v>
                </c:pt>
                <c:pt idx="17">
                  <c:v>644941.4541649695</c:v>
                </c:pt>
                <c:pt idx="18">
                  <c:v>673220.72986697976</c:v>
                </c:pt>
                <c:pt idx="19">
                  <c:v>702065.5910830301</c:v>
                </c:pt>
              </c:numCache>
            </c:numRef>
          </c:val>
          <c:smooth val="0"/>
          <c:extLst>
            <c:ext xmlns:c16="http://schemas.microsoft.com/office/drawing/2014/chart" uri="{C3380CC4-5D6E-409C-BE32-E72D297353CC}">
              <c16:uniqueId val="{00000004-8531-4083-AAD4-944FEFD41EE7}"/>
            </c:ext>
          </c:extLst>
        </c:ser>
        <c:dLbls>
          <c:showLegendKey val="0"/>
          <c:showVal val="0"/>
          <c:showCatName val="0"/>
          <c:showSerName val="0"/>
          <c:showPercent val="0"/>
          <c:showBubbleSize val="0"/>
        </c:dLbls>
        <c:marker val="1"/>
        <c:smooth val="0"/>
        <c:axId val="39218176"/>
        <c:axId val="39220352"/>
      </c:lineChart>
      <c:catAx>
        <c:axId val="39218176"/>
        <c:scaling>
          <c:orientation val="minMax"/>
        </c:scaling>
        <c:delete val="0"/>
        <c:axPos val="b"/>
        <c:title>
          <c:tx>
            <c:rich>
              <a:bodyPr/>
              <a:lstStyle/>
              <a:p>
                <a:pPr>
                  <a:defRPr/>
                </a:pPr>
                <a:r>
                  <a:rPr lang="en-US"/>
                  <a:t>Relative Year</a:t>
                </a:r>
              </a:p>
            </c:rich>
          </c:tx>
          <c:overlay val="0"/>
        </c:title>
        <c:majorTickMark val="out"/>
        <c:minorTickMark val="none"/>
        <c:tickLblPos val="nextTo"/>
        <c:crossAx val="39220352"/>
        <c:crosses val="autoZero"/>
        <c:auto val="1"/>
        <c:lblAlgn val="ctr"/>
        <c:lblOffset val="100"/>
        <c:tickLblSkip val="1"/>
        <c:noMultiLvlLbl val="0"/>
      </c:catAx>
      <c:valAx>
        <c:axId val="39220352"/>
        <c:scaling>
          <c:orientation val="minMax"/>
        </c:scaling>
        <c:delete val="0"/>
        <c:axPos val="l"/>
        <c:majorGridlines/>
        <c:numFmt formatCode="&quot;$&quot;#,##0" sourceLinked="1"/>
        <c:majorTickMark val="out"/>
        <c:minorTickMark val="none"/>
        <c:tickLblPos val="nextTo"/>
        <c:crossAx val="39218176"/>
        <c:crosses val="autoZero"/>
        <c:crossBetween val="between"/>
      </c:valAx>
    </c:plotArea>
    <c:legend>
      <c:legendPos val="r"/>
      <c:layout>
        <c:manualLayout>
          <c:xMode val="edge"/>
          <c:yMode val="edge"/>
          <c:x val="0.14421465273330991"/>
          <c:y val="0.18514192987274011"/>
          <c:w val="0.35117063117889363"/>
          <c:h val="0.2414281270433784"/>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Needs withdrawn</a:t>
            </a:r>
            <a:r>
              <a:rPr lang="en-US" baseline="0"/>
              <a:t> from</a:t>
            </a:r>
            <a:r>
              <a:rPr lang="en-US"/>
              <a:t>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3527792014163911"/>
          <c:y val="0.20230971128608918"/>
          <c:w val="0.78787398347201998"/>
          <c:h val="0.69465612696850454"/>
        </c:manualLayout>
      </c:layout>
      <c:areaChart>
        <c:grouping val="stacked"/>
        <c:varyColors val="0"/>
        <c:ser>
          <c:idx val="1"/>
          <c:order val="0"/>
          <c:tx>
            <c:strRef>
              <c:f>'Trial Deposits Engine'!$G$235</c:f>
              <c:strCache>
                <c:ptCount val="1"/>
                <c:pt idx="0">
                  <c:v>Duration Adjusted Uninflated Needs</c:v>
                </c:pt>
              </c:strCache>
            </c:strRef>
          </c:tx>
          <c:val>
            <c:numRef>
              <c:f>'Trial Deposits Engine'!$H$235:$AA$235</c:f>
              <c:numCache>
                <c:formatCode>"$"#,##0_);[Red]\("$"#,##0\)</c:formatCode>
                <c:ptCount val="20"/>
                <c:pt idx="0">
                  <c:v>0</c:v>
                </c:pt>
                <c:pt idx="1">
                  <c:v>-13707.843137254902</c:v>
                </c:pt>
                <c:pt idx="2">
                  <c:v>-87619.800076893502</c:v>
                </c:pt>
                <c:pt idx="3">
                  <c:v>-133644.70754084026</c:v>
                </c:pt>
                <c:pt idx="4">
                  <c:v>-181279.10155219334</c:v>
                </c:pt>
                <c:pt idx="5">
                  <c:v>-225516.80576590612</c:v>
                </c:pt>
                <c:pt idx="6">
                  <c:v>-243601.2309355101</c:v>
                </c:pt>
                <c:pt idx="7">
                  <c:v>-282103.49595506769</c:v>
                </c:pt>
                <c:pt idx="8">
                  <c:v>-307917.31223171263</c:v>
                </c:pt>
                <c:pt idx="9">
                  <c:v>-333224.9752480312</c:v>
                </c:pt>
                <c:pt idx="10">
                  <c:v>-442899.80050324032</c:v>
                </c:pt>
                <c:pt idx="11">
                  <c:v>-546389.15132160846</c:v>
                </c:pt>
                <c:pt idx="12">
                  <c:v>-590471.43928885215</c:v>
                </c:pt>
                <c:pt idx="13">
                  <c:v>-644399.734303487</c:v>
                </c:pt>
                <c:pt idx="14">
                  <c:v>-733851.72345564282</c:v>
                </c:pt>
                <c:pt idx="15">
                  <c:v>-744146.19253963372</c:v>
                </c:pt>
                <c:pt idx="16">
                  <c:v>-744146.19253963372</c:v>
                </c:pt>
                <c:pt idx="17">
                  <c:v>-775445.08100222202</c:v>
                </c:pt>
                <c:pt idx="18">
                  <c:v>-801259.25699782954</c:v>
                </c:pt>
                <c:pt idx="19">
                  <c:v>-1004776.3672390626</c:v>
                </c:pt>
              </c:numCache>
            </c:numRef>
          </c:val>
          <c:extLst>
            <c:ext xmlns:c16="http://schemas.microsoft.com/office/drawing/2014/chart" uri="{C3380CC4-5D6E-409C-BE32-E72D297353CC}">
              <c16:uniqueId val="{00000000-F594-4978-932B-CC2E8BB62E06}"/>
            </c:ext>
          </c:extLst>
        </c:ser>
        <c:ser>
          <c:idx val="2"/>
          <c:order val="1"/>
          <c:tx>
            <c:strRef>
              <c:f>'Trial Deposits Engine'!$G$236</c:f>
              <c:strCache>
                <c:ptCount val="1"/>
                <c:pt idx="0">
                  <c:v>Inflation in Needs Amount</c:v>
                </c:pt>
              </c:strCache>
            </c:strRef>
          </c:tx>
          <c:val>
            <c:numRef>
              <c:f>'Trial Deposits Engine'!$H$236:$AA$236</c:f>
              <c:numCache>
                <c:formatCode>"$"#,##0_);[Red]\("$"#,##0\)</c:formatCode>
                <c:ptCount val="20"/>
                <c:pt idx="0">
                  <c:v>0</c:v>
                </c:pt>
                <c:pt idx="1">
                  <c:v>-274.15686274509829</c:v>
                </c:pt>
                <c:pt idx="2">
                  <c:v>-3260.1999231064974</c:v>
                </c:pt>
                <c:pt idx="3">
                  <c:v>-6077.2924591597475</c:v>
                </c:pt>
                <c:pt idx="4">
                  <c:v>-10003.898447806647</c:v>
                </c:pt>
                <c:pt idx="5">
                  <c:v>-14608.194234093895</c:v>
                </c:pt>
                <c:pt idx="6">
                  <c:v>-16889.769064489908</c:v>
                </c:pt>
                <c:pt idx="7">
                  <c:v>-22614.504044932346</c:v>
                </c:pt>
                <c:pt idx="8">
                  <c:v>-27045.687768287426</c:v>
                </c:pt>
                <c:pt idx="9">
                  <c:v>-31983.024751968875</c:v>
                </c:pt>
                <c:pt idx="10">
                  <c:v>-56001.199496759757</c:v>
                </c:pt>
                <c:pt idx="11">
                  <c:v>-81187.84867839166</c:v>
                </c:pt>
                <c:pt idx="12">
                  <c:v>-93012.560711148006</c:v>
                </c:pt>
                <c:pt idx="13">
                  <c:v>-108846.26569651319</c:v>
                </c:pt>
                <c:pt idx="14">
                  <c:v>-137424.27654435739</c:v>
                </c:pt>
                <c:pt idx="15">
                  <c:v>-140984.80746036646</c:v>
                </c:pt>
                <c:pt idx="16">
                  <c:v>-140984.80746036646</c:v>
                </c:pt>
                <c:pt idx="17">
                  <c:v>-153511.91899777821</c:v>
                </c:pt>
                <c:pt idx="18">
                  <c:v>-164566.74300217067</c:v>
                </c:pt>
                <c:pt idx="19">
                  <c:v>-257535.63276093762</c:v>
                </c:pt>
              </c:numCache>
            </c:numRef>
          </c:val>
          <c:extLst>
            <c:ext xmlns:c16="http://schemas.microsoft.com/office/drawing/2014/chart" uri="{C3380CC4-5D6E-409C-BE32-E72D297353CC}">
              <c16:uniqueId val="{00000001-F594-4978-932B-CC2E8BB62E06}"/>
            </c:ext>
          </c:extLst>
        </c:ser>
        <c:dLbls>
          <c:showLegendKey val="0"/>
          <c:showVal val="0"/>
          <c:showCatName val="0"/>
          <c:showSerName val="0"/>
          <c:showPercent val="0"/>
          <c:showBubbleSize val="0"/>
        </c:dLbls>
        <c:axId val="93404544"/>
        <c:axId val="93419008"/>
      </c:areaChart>
      <c:lineChart>
        <c:grouping val="stacked"/>
        <c:varyColors val="0"/>
        <c:ser>
          <c:idx val="0"/>
          <c:order val="2"/>
          <c:tx>
            <c:strRef>
              <c:f>'Trial Deposits Engine'!$G$237</c:f>
              <c:strCache>
                <c:ptCount val="1"/>
                <c:pt idx="0">
                  <c:v>Accumulated Uses</c:v>
                </c:pt>
              </c:strCache>
            </c:strRef>
          </c:tx>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'Trial Deposits Engine'!$H$237:$AA$237</c:f>
              <c:numCache>
                <c:formatCode>"$"#,##0</c:formatCode>
                <c:ptCount val="20"/>
                <c:pt idx="0">
                  <c:v>0</c:v>
                </c:pt>
                <c:pt idx="1">
                  <c:v>-13982</c:v>
                </c:pt>
                <c:pt idx="2">
                  <c:v>-90880</c:v>
                </c:pt>
                <c:pt idx="3">
                  <c:v>-139722</c:v>
                </c:pt>
                <c:pt idx="4">
                  <c:v>-191283</c:v>
                </c:pt>
                <c:pt idx="5">
                  <c:v>-240125</c:v>
                </c:pt>
                <c:pt idx="6">
                  <c:v>-260491</c:v>
                </c:pt>
                <c:pt idx="7">
                  <c:v>-304718.00000000006</c:v>
                </c:pt>
                <c:pt idx="8">
                  <c:v>-334963.00000000006</c:v>
                </c:pt>
                <c:pt idx="9">
                  <c:v>-365208.00000000006</c:v>
                </c:pt>
                <c:pt idx="10">
                  <c:v>-498901.00000000006</c:v>
                </c:pt>
                <c:pt idx="11">
                  <c:v>-627577.00000000012</c:v>
                </c:pt>
                <c:pt idx="12">
                  <c:v>-683484.00000000012</c:v>
                </c:pt>
                <c:pt idx="13">
                  <c:v>-753246.00000000023</c:v>
                </c:pt>
                <c:pt idx="14">
                  <c:v>-871276.00000000023</c:v>
                </c:pt>
                <c:pt idx="15">
                  <c:v>-885131.00000000023</c:v>
                </c:pt>
                <c:pt idx="16">
                  <c:v>-885131.00000000023</c:v>
                </c:pt>
                <c:pt idx="17">
                  <c:v>-928957.00000000023</c:v>
                </c:pt>
                <c:pt idx="18">
                  <c:v>-965826.00000000023</c:v>
                </c:pt>
                <c:pt idx="19">
                  <c:v>-1262312.0000000002</c:v>
                </c:pt>
              </c:numCache>
            </c:numRef>
          </c:val>
          <c:smooth val="0"/>
          <c:extLst>
            <c:ext xmlns:c16="http://schemas.microsoft.com/office/drawing/2014/chart" uri="{C3380CC4-5D6E-409C-BE32-E72D297353CC}">
              <c16:uniqueId val="{00000002-F594-4978-932B-CC2E8BB62E06}"/>
            </c:ext>
          </c:extLst>
        </c:ser>
        <c:ser>
          <c:idx val="3"/>
          <c:order val="3"/>
          <c:tx>
            <c:strRef>
              <c:f>'Trial Deposits Engine'!$G$238</c:f>
              <c:strCache>
                <c:ptCount val="1"/>
                <c:pt idx="0">
                  <c:v>Note: Gap between highest cumulative R4R Sources and Needs to equalize graphs scales</c:v>
                </c:pt>
              </c:strCache>
            </c:strRef>
          </c:tx>
          <c:spPr>
            <a:ln>
              <a:noFill/>
            </a:ln>
          </c:spPr>
          <c:marker>
            <c:symbol val="none"/>
          </c:marker>
          <c:dPt>
            <c:idx val="9"/>
            <c:marker>
              <c:symbol val="auto"/>
              <c:spPr>
                <a:solidFill>
                  <a:schemeClr val="accent3">
                    <a:lumMod val="40000"/>
                    <a:lumOff val="60000"/>
                  </a:schemeClr>
                </a:solidFill>
              </c:spPr>
            </c:marker>
            <c:bubble3D val="0"/>
            <c:extLst>
              <c:ext xmlns:c16="http://schemas.microsoft.com/office/drawing/2014/chart" uri="{C3380CC4-5D6E-409C-BE32-E72D297353CC}">
                <c16:uniqueId val="{00000003-F594-4978-932B-CC2E8BB62E06}"/>
              </c:ext>
            </c:extLst>
          </c:dPt>
          <c:dLbls>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594-4978-932B-CC2E8BB62E0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val>
            <c:numRef>
              <c:f>'Trial Deposits Engine'!$H$238:$AA$238</c:f>
              <c:numCache>
                <c:formatCode>General</c:formatCode>
                <c:ptCount val="20"/>
                <c:pt idx="9" formatCode="&quot;$&quot;#,##0">
                  <c:v>436709.62055100384</c:v>
                </c:pt>
              </c:numCache>
            </c:numRef>
          </c:val>
          <c:smooth val="0"/>
          <c:extLst>
            <c:ext xmlns:c16="http://schemas.microsoft.com/office/drawing/2014/chart" uri="{C3380CC4-5D6E-409C-BE32-E72D297353CC}">
              <c16:uniqueId val="{00000004-F594-4978-932B-CC2E8BB62E06}"/>
            </c:ext>
          </c:extLst>
        </c:ser>
        <c:dLbls>
          <c:showLegendKey val="0"/>
          <c:showVal val="0"/>
          <c:showCatName val="0"/>
          <c:showSerName val="0"/>
          <c:showPercent val="0"/>
          <c:showBubbleSize val="0"/>
        </c:dLbls>
        <c:marker val="1"/>
        <c:smooth val="0"/>
        <c:axId val="93404544"/>
        <c:axId val="93419008"/>
      </c:lineChart>
      <c:catAx>
        <c:axId val="93404544"/>
        <c:scaling>
          <c:orientation val="minMax"/>
        </c:scaling>
        <c:delete val="0"/>
        <c:axPos val="b"/>
        <c:title>
          <c:tx>
            <c:rich>
              <a:bodyPr/>
              <a:lstStyle/>
              <a:p>
                <a:pPr>
                  <a:defRPr/>
                </a:pPr>
                <a:r>
                  <a:rPr lang="en-US"/>
                  <a:t>Relative Year</a:t>
                </a:r>
              </a:p>
            </c:rich>
          </c:tx>
          <c:overlay val="0"/>
        </c:title>
        <c:majorTickMark val="out"/>
        <c:minorTickMark val="none"/>
        <c:tickLblPos val="nextTo"/>
        <c:crossAx val="93419008"/>
        <c:crosses val="autoZero"/>
        <c:auto val="1"/>
        <c:lblAlgn val="ctr"/>
        <c:lblOffset val="100"/>
        <c:tickLblSkip val="1"/>
        <c:noMultiLvlLbl val="0"/>
      </c:catAx>
      <c:valAx>
        <c:axId val="93419008"/>
        <c:scaling>
          <c:orientation val="minMax"/>
        </c:scaling>
        <c:delete val="0"/>
        <c:axPos val="l"/>
        <c:majorGridlines/>
        <c:numFmt formatCode="&quot;$&quot;#,##0_);[Red]\(&quot;$&quot;#,##0\)" sourceLinked="1"/>
        <c:majorTickMark val="out"/>
        <c:minorTickMark val="none"/>
        <c:tickLblPos val="nextTo"/>
        <c:crossAx val="93404544"/>
        <c:crosses val="autoZero"/>
        <c:crossBetween val="between"/>
      </c:valAx>
    </c:plotArea>
    <c:legend>
      <c:legendPos val="r"/>
      <c:layout>
        <c:manualLayout>
          <c:xMode val="edge"/>
          <c:yMode val="edge"/>
          <c:x val="0.15071233606639117"/>
          <c:y val="0.23441108923884521"/>
          <c:w val="0.43577913740030239"/>
          <c:h val="0.30467437664042041"/>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Sources Funding</a:t>
            </a:r>
            <a:r>
              <a:rPr lang="en-US" baseline="0"/>
              <a:t> the Reserve for Replacements and Cumulative</a:t>
            </a:r>
            <a:r>
              <a:rPr lang="en-US"/>
              <a:t> Needs withdrawn</a:t>
            </a:r>
            <a:r>
              <a:rPr lang="en-US" baseline="0"/>
              <a:t> from</a:t>
            </a:r>
            <a:r>
              <a:rPr lang="en-US"/>
              <a:t>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2732030397026819"/>
          <c:y val="0.27008797955014424"/>
          <c:w val="0.80872345502266751"/>
          <c:h val="0.60858175322608798"/>
        </c:manualLayout>
      </c:layout>
      <c:lineChart>
        <c:grouping val="standard"/>
        <c:varyColors val="0"/>
        <c:ser>
          <c:idx val="1"/>
          <c:order val="0"/>
          <c:tx>
            <c:strRef>
              <c:f>'Trial Deposits Engine'!$G$231</c:f>
              <c:strCache>
                <c:ptCount val="1"/>
                <c:pt idx="0">
                  <c:v>Accumulated Sources</c:v>
                </c:pt>
              </c:strCache>
            </c:strRef>
          </c:tx>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'Trial Deposits Engine'!$H$240:$AA$240</c:f>
              <c:numCache>
                <c:formatCode>"$"#,##0</c:formatCode>
                <c:ptCount val="20"/>
                <c:pt idx="0">
                  <c:v>221800</c:v>
                </c:pt>
                <c:pt idx="1">
                  <c:v>230232</c:v>
                </c:pt>
                <c:pt idx="2">
                  <c:v>177387.39999999997</c:v>
                </c:pt>
                <c:pt idx="3">
                  <c:v>152218.12939999998</c:v>
                </c:pt>
                <c:pt idx="4">
                  <c:v>124372.55810899998</c:v>
                </c:pt>
                <c:pt idx="5">
                  <c:v>99256.946383995004</c:v>
                </c:pt>
                <c:pt idx="6">
                  <c:v>102677.81648118212</c:v>
                </c:pt>
                <c:pt idx="7">
                  <c:v>82734.959947855503</c:v>
                </c:pt>
                <c:pt idx="8">
                  <c:v>76929.840090918238</c:v>
                </c:pt>
                <c:pt idx="9">
                  <c:v>71501.620551003783</c:v>
                </c:pt>
                <c:pt idx="10">
                  <c:v>-36982.765624835039</c:v>
                </c:pt>
                <c:pt idx="11">
                  <c:v>-141039.95431862096</c:v>
                </c:pt>
                <c:pt idx="12">
                  <c:v>-171835.76678628253</c:v>
                </c:pt>
                <c:pt idx="13">
                  <c:v>-215984.35550329753</c:v>
                </c:pt>
                <c:pt idx="14">
                  <c:v>-307888.67599465267</c:v>
                </c:pt>
                <c:pt idx="15">
                  <c:v>-295095.48289583484</c:v>
                </c:pt>
                <c:pt idx="16">
                  <c:v>-267914.32593504072</c:v>
                </c:pt>
                <c:pt idx="17">
                  <c:v>-284015.54583503073</c:v>
                </c:pt>
                <c:pt idx="18">
                  <c:v>-292605.27013302047</c:v>
                </c:pt>
                <c:pt idx="19">
                  <c:v>-560246.40891697013</c:v>
                </c:pt>
              </c:numCache>
            </c:numRef>
          </c:cat>
          <c:val>
            <c:numRef>
              <c:f>'Trial Deposits Engine'!$H$231:$AA$231</c:f>
              <c:numCache>
                <c:formatCode>"$"#,##0</c:formatCode>
                <c:ptCount val="20"/>
                <c:pt idx="0">
                  <c:v>221800</c:v>
                </c:pt>
                <c:pt idx="1">
                  <c:v>244214</c:v>
                </c:pt>
                <c:pt idx="2">
                  <c:v>268267.39999999997</c:v>
                </c:pt>
                <c:pt idx="3">
                  <c:v>291940.12939999998</c:v>
                </c:pt>
                <c:pt idx="4">
                  <c:v>315655.55810899998</c:v>
                </c:pt>
                <c:pt idx="5">
                  <c:v>339381.946383995</c:v>
                </c:pt>
                <c:pt idx="6">
                  <c:v>363168.81648118212</c:v>
                </c:pt>
                <c:pt idx="7">
                  <c:v>387452.95994785556</c:v>
                </c:pt>
                <c:pt idx="8">
                  <c:v>411892.8400909183</c:v>
                </c:pt>
                <c:pt idx="9">
                  <c:v>436709.62055100384</c:v>
                </c:pt>
                <c:pt idx="10">
                  <c:v>461918.23437516502</c:v>
                </c:pt>
                <c:pt idx="11">
                  <c:v>486537.04568137915</c:v>
                </c:pt>
                <c:pt idx="12">
                  <c:v>511648.23321371758</c:v>
                </c:pt>
                <c:pt idx="13">
                  <c:v>537261.64449670271</c:v>
                </c:pt>
                <c:pt idx="14">
                  <c:v>563387.32400534756</c:v>
                </c:pt>
                <c:pt idx="15">
                  <c:v>590035.5171041654</c:v>
                </c:pt>
                <c:pt idx="16">
                  <c:v>617216.67406495952</c:v>
                </c:pt>
                <c:pt idx="17">
                  <c:v>644941.4541649695</c:v>
                </c:pt>
                <c:pt idx="18">
                  <c:v>673220.72986697976</c:v>
                </c:pt>
                <c:pt idx="19">
                  <c:v>702065.5910830301</c:v>
                </c:pt>
              </c:numCache>
            </c:numRef>
          </c:val>
          <c:smooth val="0"/>
          <c:extLst>
            <c:ext xmlns:c16="http://schemas.microsoft.com/office/drawing/2014/chart" uri="{C3380CC4-5D6E-409C-BE32-E72D297353CC}">
              <c16:uniqueId val="{00000000-A473-48A2-B253-33AEF471CF0C}"/>
            </c:ext>
          </c:extLst>
        </c:ser>
        <c:ser>
          <c:idx val="2"/>
          <c:order val="1"/>
          <c:tx>
            <c:strRef>
              <c:f>'Trial Deposits Engine'!$G$240</c:f>
              <c:strCache>
                <c:ptCount val="1"/>
                <c:pt idx="0">
                  <c:v>Accumulated Gap</c:v>
                </c:pt>
              </c:strCache>
            </c:strRef>
          </c:tx>
          <c:marker>
            <c:symbol val="none"/>
          </c:marker>
          <c:dLbls>
            <c:spPr>
              <a:solidFill>
                <a:schemeClr val="accent3">
                  <a:lumMod val="40000"/>
                  <a:lumOff val="60000"/>
                </a:schemeClr>
              </a:solidFill>
              <a:ln>
                <a:solidFill>
                  <a:schemeClr val="tx1"/>
                </a:solidFill>
              </a:ln>
            </c:spPr>
            <c:txPr>
              <a:bodyPr/>
              <a:lstStyle/>
              <a:p>
                <a:pPr>
                  <a:defRPr sz="800"/>
                </a:pPr>
                <a:endParaRPr lang="en-US"/>
              </a:p>
            </c:txPr>
            <c:dLblPos val="ctr"/>
            <c:showLegendKey val="0"/>
            <c:showVal val="0"/>
            <c:showCatName val="1"/>
            <c:showSerName val="1"/>
            <c:showPercent val="0"/>
            <c:showBubbleSize val="0"/>
            <c:separator>
</c:separator>
            <c:showLeaderLines val="0"/>
            <c:extLst>
              <c:ext xmlns:c15="http://schemas.microsoft.com/office/drawing/2012/chart" uri="{CE6537A1-D6FC-4f65-9D91-7224C49458BB}">
                <c15:showLeaderLines val="0"/>
              </c:ext>
            </c:extLst>
          </c:dLbls>
          <c:cat>
            <c:numRef>
              <c:f>'Trial Deposits Engine'!$H$240:$AA$240</c:f>
              <c:numCache>
                <c:formatCode>"$"#,##0</c:formatCode>
                <c:ptCount val="20"/>
                <c:pt idx="0">
                  <c:v>221800</c:v>
                </c:pt>
                <c:pt idx="1">
                  <c:v>230232</c:v>
                </c:pt>
                <c:pt idx="2">
                  <c:v>177387.39999999997</c:v>
                </c:pt>
                <c:pt idx="3">
                  <c:v>152218.12939999998</c:v>
                </c:pt>
                <c:pt idx="4">
                  <c:v>124372.55810899998</c:v>
                </c:pt>
                <c:pt idx="5">
                  <c:v>99256.946383995004</c:v>
                </c:pt>
                <c:pt idx="6">
                  <c:v>102677.81648118212</c:v>
                </c:pt>
                <c:pt idx="7">
                  <c:v>82734.959947855503</c:v>
                </c:pt>
                <c:pt idx="8">
                  <c:v>76929.840090918238</c:v>
                </c:pt>
                <c:pt idx="9">
                  <c:v>71501.620551003783</c:v>
                </c:pt>
                <c:pt idx="10">
                  <c:v>-36982.765624835039</c:v>
                </c:pt>
                <c:pt idx="11">
                  <c:v>-141039.95431862096</c:v>
                </c:pt>
                <c:pt idx="12">
                  <c:v>-171835.76678628253</c:v>
                </c:pt>
                <c:pt idx="13">
                  <c:v>-215984.35550329753</c:v>
                </c:pt>
                <c:pt idx="14">
                  <c:v>-307888.67599465267</c:v>
                </c:pt>
                <c:pt idx="15">
                  <c:v>-295095.48289583484</c:v>
                </c:pt>
                <c:pt idx="16">
                  <c:v>-267914.32593504072</c:v>
                </c:pt>
                <c:pt idx="17">
                  <c:v>-284015.54583503073</c:v>
                </c:pt>
                <c:pt idx="18">
                  <c:v>-292605.27013302047</c:v>
                </c:pt>
                <c:pt idx="19">
                  <c:v>-560246.40891697013</c:v>
                </c:pt>
              </c:numCache>
            </c:numRef>
          </c:cat>
          <c:val>
            <c:numRef>
              <c:f>'Trial Deposits Engine'!$H$241:$AA$241</c:f>
              <c:numCache>
                <c:formatCode>"$"#,##0</c:formatCode>
                <c:ptCount val="20"/>
                <c:pt idx="0" formatCode="General">
                  <c:v>110900</c:v>
                </c:pt>
                <c:pt idx="1">
                  <c:v>115116</c:v>
                </c:pt>
                <c:pt idx="2">
                  <c:v>88693.699999999983</c:v>
                </c:pt>
                <c:pt idx="3">
                  <c:v>76109.064699999988</c:v>
                </c:pt>
                <c:pt idx="4">
                  <c:v>62186.279054499988</c:v>
                </c:pt>
                <c:pt idx="5">
                  <c:v>49628.473191997502</c:v>
                </c:pt>
                <c:pt idx="6">
                  <c:v>51338.908240591059</c:v>
                </c:pt>
                <c:pt idx="7">
                  <c:v>41367.479973927751</c:v>
                </c:pt>
                <c:pt idx="8">
                  <c:v>38464.920045459119</c:v>
                </c:pt>
                <c:pt idx="9">
                  <c:v>35750.810275501892</c:v>
                </c:pt>
                <c:pt idx="10">
                  <c:v>-18491.38281241752</c:v>
                </c:pt>
                <c:pt idx="11">
                  <c:v>-70519.977159310482</c:v>
                </c:pt>
                <c:pt idx="12">
                  <c:v>-85917.883393141266</c:v>
                </c:pt>
                <c:pt idx="13">
                  <c:v>-107992.17775164876</c:v>
                </c:pt>
                <c:pt idx="14">
                  <c:v>-153944.33799732634</c:v>
                </c:pt>
                <c:pt idx="15">
                  <c:v>-147547.74144791742</c:v>
                </c:pt>
                <c:pt idx="16">
                  <c:v>-133957.16296752036</c:v>
                </c:pt>
                <c:pt idx="17">
                  <c:v>-142007.77291751537</c:v>
                </c:pt>
                <c:pt idx="18">
                  <c:v>-146302.63506651024</c:v>
                </c:pt>
                <c:pt idx="19">
                  <c:v>-280123.20445848507</c:v>
                </c:pt>
              </c:numCache>
            </c:numRef>
          </c:val>
          <c:smooth val="0"/>
          <c:extLst>
            <c:ext xmlns:c16="http://schemas.microsoft.com/office/drawing/2014/chart" uri="{C3380CC4-5D6E-409C-BE32-E72D297353CC}">
              <c16:uniqueId val="{00000001-A473-48A2-B253-33AEF471CF0C}"/>
            </c:ext>
          </c:extLst>
        </c:ser>
        <c:ser>
          <c:idx val="0"/>
          <c:order val="2"/>
          <c:tx>
            <c:strRef>
              <c:f>'Trial Deposits Engine'!$G$237</c:f>
              <c:strCache>
                <c:ptCount val="1"/>
                <c:pt idx="0">
                  <c:v>Accumulated Uses</c:v>
                </c:pt>
              </c:strCache>
            </c:strRef>
          </c:tx>
          <c:marker>
            <c:symbol val="none"/>
          </c:marker>
          <c:dLbls>
            <c:spPr>
              <a:solidFill>
                <a:schemeClr val="accent6">
                  <a:lumMod val="40000"/>
                  <a:lumOff val="60000"/>
                </a:schemeClr>
              </a:solidFill>
              <a:ln>
                <a:solidFill>
                  <a:schemeClr val="tx1"/>
                </a:solidFill>
              </a:ln>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'Trial Deposits Engine'!$H$240:$AA$240</c:f>
              <c:numCache>
                <c:formatCode>"$"#,##0</c:formatCode>
                <c:ptCount val="20"/>
                <c:pt idx="0">
                  <c:v>221800</c:v>
                </c:pt>
                <c:pt idx="1">
                  <c:v>230232</c:v>
                </c:pt>
                <c:pt idx="2">
                  <c:v>177387.39999999997</c:v>
                </c:pt>
                <c:pt idx="3">
                  <c:v>152218.12939999998</c:v>
                </c:pt>
                <c:pt idx="4">
                  <c:v>124372.55810899998</c:v>
                </c:pt>
                <c:pt idx="5">
                  <c:v>99256.946383995004</c:v>
                </c:pt>
                <c:pt idx="6">
                  <c:v>102677.81648118212</c:v>
                </c:pt>
                <c:pt idx="7">
                  <c:v>82734.959947855503</c:v>
                </c:pt>
                <c:pt idx="8">
                  <c:v>76929.840090918238</c:v>
                </c:pt>
                <c:pt idx="9">
                  <c:v>71501.620551003783</c:v>
                </c:pt>
                <c:pt idx="10">
                  <c:v>-36982.765624835039</c:v>
                </c:pt>
                <c:pt idx="11">
                  <c:v>-141039.95431862096</c:v>
                </c:pt>
                <c:pt idx="12">
                  <c:v>-171835.76678628253</c:v>
                </c:pt>
                <c:pt idx="13">
                  <c:v>-215984.35550329753</c:v>
                </c:pt>
                <c:pt idx="14">
                  <c:v>-307888.67599465267</c:v>
                </c:pt>
                <c:pt idx="15">
                  <c:v>-295095.48289583484</c:v>
                </c:pt>
                <c:pt idx="16">
                  <c:v>-267914.32593504072</c:v>
                </c:pt>
                <c:pt idx="17">
                  <c:v>-284015.54583503073</c:v>
                </c:pt>
                <c:pt idx="18">
                  <c:v>-292605.27013302047</c:v>
                </c:pt>
                <c:pt idx="19">
                  <c:v>-560246.40891697013</c:v>
                </c:pt>
              </c:numCache>
            </c:numRef>
          </c:cat>
          <c:val>
            <c:numRef>
              <c:f>'Trial Deposits Engine'!$H$237:$AA$237</c:f>
              <c:numCache>
                <c:formatCode>"$"#,##0</c:formatCode>
                <c:ptCount val="20"/>
                <c:pt idx="0">
                  <c:v>0</c:v>
                </c:pt>
                <c:pt idx="1">
                  <c:v>-13982</c:v>
                </c:pt>
                <c:pt idx="2">
                  <c:v>-90880</c:v>
                </c:pt>
                <c:pt idx="3">
                  <c:v>-139722</c:v>
                </c:pt>
                <c:pt idx="4">
                  <c:v>-191283</c:v>
                </c:pt>
                <c:pt idx="5">
                  <c:v>-240125</c:v>
                </c:pt>
                <c:pt idx="6">
                  <c:v>-260491</c:v>
                </c:pt>
                <c:pt idx="7">
                  <c:v>-304718.00000000006</c:v>
                </c:pt>
                <c:pt idx="8">
                  <c:v>-334963.00000000006</c:v>
                </c:pt>
                <c:pt idx="9">
                  <c:v>-365208.00000000006</c:v>
                </c:pt>
                <c:pt idx="10">
                  <c:v>-498901.00000000006</c:v>
                </c:pt>
                <c:pt idx="11">
                  <c:v>-627577.00000000012</c:v>
                </c:pt>
                <c:pt idx="12">
                  <c:v>-683484.00000000012</c:v>
                </c:pt>
                <c:pt idx="13">
                  <c:v>-753246.00000000023</c:v>
                </c:pt>
                <c:pt idx="14">
                  <c:v>-871276.00000000023</c:v>
                </c:pt>
                <c:pt idx="15">
                  <c:v>-885131.00000000023</c:v>
                </c:pt>
                <c:pt idx="16">
                  <c:v>-885131.00000000023</c:v>
                </c:pt>
                <c:pt idx="17">
                  <c:v>-928957.00000000023</c:v>
                </c:pt>
                <c:pt idx="18">
                  <c:v>-965826.00000000023</c:v>
                </c:pt>
                <c:pt idx="19">
                  <c:v>-1262312.0000000002</c:v>
                </c:pt>
              </c:numCache>
            </c:numRef>
          </c:val>
          <c:smooth val="0"/>
          <c:extLst>
            <c:ext xmlns:c16="http://schemas.microsoft.com/office/drawing/2014/chart" uri="{C3380CC4-5D6E-409C-BE32-E72D297353CC}">
              <c16:uniqueId val="{00000002-A473-48A2-B253-33AEF471CF0C}"/>
            </c:ext>
          </c:extLst>
        </c:ser>
        <c:dLbls>
          <c:showLegendKey val="0"/>
          <c:showVal val="0"/>
          <c:showCatName val="0"/>
          <c:showSerName val="0"/>
          <c:showPercent val="0"/>
          <c:showBubbleSize val="0"/>
        </c:dLbls>
        <c:smooth val="0"/>
        <c:axId val="93462528"/>
        <c:axId val="93464448"/>
      </c:lineChart>
      <c:catAx>
        <c:axId val="93462528"/>
        <c:scaling>
          <c:orientation val="minMax"/>
        </c:scaling>
        <c:delete val="0"/>
        <c:axPos val="b"/>
        <c:majorGridlines/>
        <c:title>
          <c:tx>
            <c:rich>
              <a:bodyPr/>
              <a:lstStyle/>
              <a:p>
                <a:pPr>
                  <a:defRPr/>
                </a:pPr>
                <a:r>
                  <a:rPr lang="en-US"/>
                  <a:t>Relative Year</a:t>
                </a:r>
              </a:p>
            </c:rich>
          </c:tx>
          <c:overlay val="0"/>
        </c:title>
        <c:numFmt formatCode="&quot;$&quot;#,##0" sourceLinked="1"/>
        <c:majorTickMark val="cross"/>
        <c:minorTickMark val="none"/>
        <c:tickLblPos val="none"/>
        <c:crossAx val="93464448"/>
        <c:crosses val="autoZero"/>
        <c:auto val="1"/>
        <c:lblAlgn val="ctr"/>
        <c:lblOffset val="100"/>
        <c:tickLblSkip val="1"/>
        <c:noMultiLvlLbl val="0"/>
      </c:catAx>
      <c:valAx>
        <c:axId val="93464448"/>
        <c:scaling>
          <c:orientation val="minMax"/>
        </c:scaling>
        <c:delete val="0"/>
        <c:axPos val="l"/>
        <c:majorGridlines/>
        <c:numFmt formatCode="&quot;$&quot;#,##0" sourceLinked="1"/>
        <c:majorTickMark val="out"/>
        <c:minorTickMark val="none"/>
        <c:tickLblPos val="nextTo"/>
        <c:crossAx val="93462528"/>
        <c:crosses val="autoZero"/>
        <c:crossBetween val="between"/>
      </c:valAx>
    </c:plotArea>
    <c:legend>
      <c:legendPos val="r"/>
      <c:layout>
        <c:manualLayout>
          <c:xMode val="edge"/>
          <c:yMode val="edge"/>
          <c:x val="0.13045340291491031"/>
          <c:y val="0.21079694894722256"/>
          <c:w val="0.20768763037747243"/>
          <c:h val="0.14044981270545087"/>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baseline="0">
                <a:effectLst/>
              </a:rPr>
              <a:t>eTool Data Results: RfR Sources and Uses</a:t>
            </a:r>
            <a:endParaRPr lang="en-US" sz="1200">
              <a:effectLst/>
            </a:endParaRPr>
          </a:p>
          <a:p>
            <a:pPr>
              <a:defRPr sz="1200"/>
            </a:pPr>
            <a:r>
              <a:rPr lang="en-US" sz="1200" b="0" i="0" baseline="0">
                <a:effectLst/>
              </a:rPr>
              <a:t>Average Per Unit Per Year Deposits plus Interest Income vs. Capital Needs Withdrawals</a:t>
            </a:r>
            <a:endParaRPr lang="en-US" sz="1200">
              <a:effectLst/>
            </a:endParaRP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992893196042802"/>
          <c:y val="0.55995370370370379"/>
          <c:w val="0.8190454270139309"/>
          <c:h val="0.34132582385535143"/>
        </c:manualLayout>
      </c:layout>
      <c:barChart>
        <c:barDir val="col"/>
        <c:grouping val="clustered"/>
        <c:varyColors val="0"/>
        <c:ser>
          <c:idx val="0"/>
          <c:order val="0"/>
          <c:tx>
            <c:strRef>
              <c:f>'Pass Fail Status'!$C$33</c:f>
              <c:strCache>
                <c:ptCount val="1"/>
                <c:pt idx="0">
                  <c:v>Total Sources of Funds in the Reserve for Replacements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'Pass Fail Status'!$C$39:$C$40</c:f>
              <c:strCache>
                <c:ptCount val="2"/>
                <c:pt idx="0">
                  <c:v>RY 1-10</c:v>
                </c:pt>
                <c:pt idx="1">
                  <c:v>RY 11+</c:v>
                </c:pt>
              </c:strCache>
            </c:strRef>
          </c:cat>
          <c:val>
            <c:numRef>
              <c:f>'Pass Fail Status'!$D$39:$D$40</c:f>
              <c:numCache>
                <c:formatCode>"$"#,##0_);[Red]\("$"#,##0\)</c:formatCode>
                <c:ptCount val="2"/>
                <c:pt idx="0">
                  <c:v>727.85</c:v>
                </c:pt>
                <c:pt idx="1">
                  <c:v>442.26</c:v>
                </c:pt>
              </c:numCache>
            </c:numRef>
          </c:val>
          <c:extLst>
            <c:ext xmlns:c16="http://schemas.microsoft.com/office/drawing/2014/chart" uri="{C3380CC4-5D6E-409C-BE32-E72D297353CC}">
              <c16:uniqueId val="{00000000-622C-4146-8607-9BBDB6C34ADA}"/>
            </c:ext>
          </c:extLst>
        </c:ser>
        <c:ser>
          <c:idx val="1"/>
          <c:order val="1"/>
          <c:tx>
            <c:strRef>
              <c:f>'Pass Fail Status'!$F$33</c:f>
              <c:strCache>
                <c:ptCount val="1"/>
                <c:pt idx="0">
                  <c:v>Total Uses of Funds flowing in the  Reserve for Replacements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'Pass Fail Status'!$C$39:$C$40</c:f>
              <c:strCache>
                <c:ptCount val="2"/>
                <c:pt idx="0">
                  <c:v>RY 1-10</c:v>
                </c:pt>
                <c:pt idx="1">
                  <c:v>RY 11+</c:v>
                </c:pt>
              </c:strCache>
            </c:strRef>
          </c:cat>
          <c:val>
            <c:numRef>
              <c:f>'Pass Fail Status'!$G$39:$G$40</c:f>
              <c:numCache>
                <c:formatCode>"$"#,##0_);[Red]\("$"#,##0\)</c:formatCode>
                <c:ptCount val="2"/>
                <c:pt idx="0">
                  <c:v>608.68000000000006</c:v>
                </c:pt>
                <c:pt idx="1">
                  <c:v>1495.1733333333332</c:v>
                </c:pt>
              </c:numCache>
            </c:numRef>
          </c:val>
          <c:extLst>
            <c:ext xmlns:c16="http://schemas.microsoft.com/office/drawing/2014/chart" uri="{C3380CC4-5D6E-409C-BE32-E72D297353CC}">
              <c16:uniqueId val="{00000001-622C-4146-8607-9BBDB6C34ADA}"/>
            </c:ext>
          </c:extLst>
        </c:ser>
        <c:ser>
          <c:idx val="2"/>
          <c:order val="2"/>
          <c:tx>
            <c:strRef>
              <c:f>'Pass Fail Status'!$H$38:$H$40</c:f>
              <c:strCache>
                <c:ptCount val="3"/>
                <c:pt idx="0">
                  <c:v>Increase in Avg Need</c:v>
                </c:pt>
                <c:pt idx="2">
                  <c:v>245.6%</c:v>
                </c:pt>
              </c:strCache>
            </c:strRef>
          </c:tx>
          <c:spPr>
            <a:solidFill>
              <a:schemeClr val="accent3"/>
            </a:solidFill>
            <a:ln>
              <a:noFill/>
            </a:ln>
            <a:effectLst/>
          </c:spPr>
          <c:invertIfNegative val="0"/>
          <c:val>
            <c:numRef>
              <c:f>'Pass Fail Status'!$J$37:$J$38</c:f>
              <c:numCache>
                <c:formatCode>General</c:formatCode>
                <c:ptCount val="2"/>
              </c:numCache>
            </c:numRef>
          </c:val>
          <c:extLst>
            <c:ext xmlns:c16="http://schemas.microsoft.com/office/drawing/2014/chart" uri="{C3380CC4-5D6E-409C-BE32-E72D297353CC}">
              <c16:uniqueId val="{00000002-622C-4146-8607-9BBDB6C34ADA}"/>
            </c:ext>
          </c:extLst>
        </c:ser>
        <c:dLbls>
          <c:showLegendKey val="0"/>
          <c:showVal val="0"/>
          <c:showCatName val="0"/>
          <c:showSerName val="0"/>
          <c:showPercent val="0"/>
          <c:showBubbleSize val="0"/>
        </c:dLbls>
        <c:gapWidth val="219"/>
        <c:overlap val="-27"/>
        <c:axId val="732743216"/>
        <c:axId val="732716648"/>
      </c:barChart>
      <c:catAx>
        <c:axId val="732743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2716648"/>
        <c:crosses val="autoZero"/>
        <c:auto val="1"/>
        <c:lblAlgn val="ctr"/>
        <c:lblOffset val="100"/>
        <c:noMultiLvlLbl val="0"/>
      </c:catAx>
      <c:valAx>
        <c:axId val="73271664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2743216"/>
        <c:crosses val="autoZero"/>
        <c:crossBetween val="between"/>
      </c:valAx>
      <c:spPr>
        <a:noFill/>
        <a:ln>
          <a:noFill/>
        </a:ln>
        <a:effectLst/>
      </c:spPr>
    </c:plotArea>
    <c:legend>
      <c:legendPos val="b"/>
      <c:layout>
        <c:manualLayout>
          <c:xMode val="edge"/>
          <c:yMode val="edge"/>
          <c:x val="9.2274427721851224E-2"/>
          <c:y val="0.28182706328375617"/>
          <c:w val="0.87357932157214513"/>
          <c:h val="0.24440484365763454"/>
        </c:manualLayout>
      </c:layout>
      <c:overlay val="0"/>
      <c:spPr>
        <a:noFill/>
        <a:ln>
          <a:solidFill>
            <a:srgbClr val="0070C0"/>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rgbClr val="0070C0"/>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Components of Minimum Required Balance Test </a:t>
            </a:r>
          </a:p>
          <a:p>
            <a:pPr>
              <a:defRPr/>
            </a:pPr>
            <a:r>
              <a:rPr lang="en-US"/>
              <a:t>Reserve Balances</a:t>
            </a:r>
            <a:r>
              <a:rPr lang="en-US" baseline="0"/>
              <a:t> and the Estimate Period average inflated minimum requirement</a:t>
            </a:r>
            <a:endParaRPr lang="en-US"/>
          </a:p>
        </c:rich>
      </c:tx>
      <c:layout>
        <c:manualLayout>
          <c:xMode val="edge"/>
          <c:yMode val="edge"/>
          <c:x val="0.13341805516627969"/>
          <c:y val="6.7476383265856948E-2"/>
        </c:manualLayout>
      </c:layout>
      <c:overlay val="1"/>
    </c:title>
    <c:autoTitleDeleted val="0"/>
    <c:plotArea>
      <c:layout>
        <c:manualLayout>
          <c:layoutTarget val="inner"/>
          <c:xMode val="edge"/>
          <c:yMode val="edge"/>
          <c:x val="0.12752471158496492"/>
          <c:y val="0.26862009595739339"/>
          <c:w val="0.81055650652364108"/>
          <c:h val="0.63399738298018948"/>
        </c:manualLayout>
      </c:layout>
      <c:lineChart>
        <c:grouping val="standard"/>
        <c:varyColors val="0"/>
        <c:ser>
          <c:idx val="1"/>
          <c:order val="1"/>
          <c:tx>
            <c:strRef>
              <c:f>'Trial Deposits Engine'!$G$252</c:f>
              <c:strCache>
                <c:ptCount val="1"/>
                <c:pt idx="0">
                  <c:v>Ending RfR Balance</c:v>
                </c:pt>
              </c:strCache>
            </c:strRef>
          </c:tx>
          <c:spPr>
            <a:ln>
              <a:solidFill>
                <a:srgbClr val="0070C0"/>
              </a:solidFill>
            </a:ln>
          </c:spPr>
          <c:marker>
            <c:symbol val="none"/>
          </c:marker>
          <c:val>
            <c:numRef>
              <c:f>'Trial Deposits Engine'!$H$252:$AA$252</c:f>
              <c:numCache>
                <c:formatCode>"$"#,##0.00_);[Red]\("$"#,##0.00\)</c:formatCode>
                <c:ptCount val="20"/>
                <c:pt idx="0">
                  <c:v>221800</c:v>
                </c:pt>
                <c:pt idx="1">
                  <c:v>230232</c:v>
                </c:pt>
                <c:pt idx="2">
                  <c:v>177387.4</c:v>
                </c:pt>
                <c:pt idx="3">
                  <c:v>152218.12939999998</c:v>
                </c:pt>
                <c:pt idx="4">
                  <c:v>124372.55810899998</c:v>
                </c:pt>
                <c:pt idx="5">
                  <c:v>99256.946383994975</c:v>
                </c:pt>
                <c:pt idx="6">
                  <c:v>102677.81648118209</c:v>
                </c:pt>
                <c:pt idx="7">
                  <c:v>82734.959947855561</c:v>
                </c:pt>
                <c:pt idx="8">
                  <c:v>76929.840090918253</c:v>
                </c:pt>
                <c:pt idx="9">
                  <c:v>71501.620551003783</c:v>
                </c:pt>
                <c:pt idx="10">
                  <c:v>-36982.765624834967</c:v>
                </c:pt>
                <c:pt idx="11">
                  <c:v>-141039.95431862085</c:v>
                </c:pt>
                <c:pt idx="12">
                  <c:v>-171835.76678628245</c:v>
                </c:pt>
                <c:pt idx="13">
                  <c:v>-215984.35550329729</c:v>
                </c:pt>
                <c:pt idx="14">
                  <c:v>-307888.67599465244</c:v>
                </c:pt>
                <c:pt idx="15">
                  <c:v>-295095.48289583466</c:v>
                </c:pt>
                <c:pt idx="16">
                  <c:v>-267914.32593504054</c:v>
                </c:pt>
                <c:pt idx="17">
                  <c:v>-284015.5458350305</c:v>
                </c:pt>
                <c:pt idx="18">
                  <c:v>-292605.2701330203</c:v>
                </c:pt>
                <c:pt idx="19">
                  <c:v>-560246.4089169699</c:v>
                </c:pt>
              </c:numCache>
            </c:numRef>
          </c:val>
          <c:smooth val="0"/>
          <c:extLst>
            <c:ext xmlns:c16="http://schemas.microsoft.com/office/drawing/2014/chart" uri="{C3380CC4-5D6E-409C-BE32-E72D297353CC}">
              <c16:uniqueId val="{00000001-5A08-4BFF-A4B0-3BA3D4CE2E06}"/>
            </c:ext>
          </c:extLst>
        </c:ser>
        <c:ser>
          <c:idx val="2"/>
          <c:order val="2"/>
          <c:tx>
            <c:strRef>
              <c:f>'Trial Deposits Engine'!$G$253</c:f>
              <c:strCache>
                <c:ptCount val="1"/>
                <c:pt idx="0">
                  <c:v>Estimate Period Minimum Balance-inflated</c:v>
                </c:pt>
              </c:strCache>
            </c:strRef>
          </c:tx>
          <c:marker>
            <c:symbol val="none"/>
          </c:marker>
          <c:val>
            <c:numRef>
              <c:f>'Trial Deposits Engine'!$H$253:$AA$253</c:f>
              <c:numCache>
                <c:formatCode>"$"#,##0.00</c:formatCode>
                <c:ptCount val="20"/>
                <c:pt idx="0">
                  <c:v>50151</c:v>
                </c:pt>
                <c:pt idx="1">
                  <c:v>51154.020000000004</c:v>
                </c:pt>
                <c:pt idx="2">
                  <c:v>52177.100400000003</c:v>
                </c:pt>
                <c:pt idx="3">
                  <c:v>53220.642408</c:v>
                </c:pt>
                <c:pt idx="4">
                  <c:v>54285.055256159998</c:v>
                </c:pt>
                <c:pt idx="5">
                  <c:v>55370.756361283202</c:v>
                </c:pt>
                <c:pt idx="6">
                  <c:v>56478.171488508866</c:v>
                </c:pt>
                <c:pt idx="7">
                  <c:v>57607.734918279042</c:v>
                </c:pt>
                <c:pt idx="8">
                  <c:v>58759.889616644628</c:v>
                </c:pt>
                <c:pt idx="9">
                  <c:v>59935.087408977524</c:v>
                </c:pt>
                <c:pt idx="10">
                  <c:v>61133.789157157073</c:v>
                </c:pt>
                <c:pt idx="11">
                  <c:v>62356.464940300211</c:v>
                </c:pt>
                <c:pt idx="12">
                  <c:v>63603.59423910622</c:v>
                </c:pt>
                <c:pt idx="13">
                  <c:v>64875.666123888339</c:v>
                </c:pt>
                <c:pt idx="14">
                  <c:v>66173.179446366106</c:v>
                </c:pt>
                <c:pt idx="15">
                  <c:v>67496.64303529344</c:v>
                </c:pt>
                <c:pt idx="16">
                  <c:v>68846.575895999311</c:v>
                </c:pt>
                <c:pt idx="17">
                  <c:v>70223.507413919302</c:v>
                </c:pt>
                <c:pt idx="18">
                  <c:v>71627.977562197688</c:v>
                </c:pt>
                <c:pt idx="19">
                  <c:v>73060.537113441635</c:v>
                </c:pt>
              </c:numCache>
            </c:numRef>
          </c:val>
          <c:smooth val="0"/>
          <c:extLst>
            <c:ext xmlns:c16="http://schemas.microsoft.com/office/drawing/2014/chart" uri="{C3380CC4-5D6E-409C-BE32-E72D297353CC}">
              <c16:uniqueId val="{00000002-5A08-4BFF-A4B0-3BA3D4CE2E06}"/>
            </c:ext>
          </c:extLst>
        </c:ser>
        <c:ser>
          <c:idx val="3"/>
          <c:order val="3"/>
          <c:tx>
            <c:strRef>
              <c:f>'Trial Deposits Engine'!$G$254</c:f>
              <c:strCache>
                <c:ptCount val="1"/>
                <c:pt idx="0">
                  <c:v>Margin exceeding Minimum Balance</c:v>
                </c:pt>
              </c:strCache>
            </c:strRef>
          </c:tx>
          <c:spPr>
            <a:ln>
              <a:solidFill>
                <a:srgbClr val="92D050"/>
              </a:solidFill>
            </a:ln>
          </c:spPr>
          <c:marker>
            <c:symbol val="none"/>
          </c:marker>
          <c:val>
            <c:numRef>
              <c:f>'Trial Deposits Engine'!$H$254:$AA$254</c:f>
              <c:numCache>
                <c:formatCode>"$"#,##0.00</c:formatCode>
                <c:ptCount val="20"/>
                <c:pt idx="0">
                  <c:v>171649</c:v>
                </c:pt>
                <c:pt idx="1">
                  <c:v>179077.97999999998</c:v>
                </c:pt>
                <c:pt idx="2">
                  <c:v>125210.2996</c:v>
                </c:pt>
                <c:pt idx="3">
                  <c:v>98997.486991999976</c:v>
                </c:pt>
                <c:pt idx="4">
                  <c:v>70087.502852839971</c:v>
                </c:pt>
                <c:pt idx="5">
                  <c:v>43886.190022711773</c:v>
                </c:pt>
                <c:pt idx="6">
                  <c:v>46199.644992673224</c:v>
                </c:pt>
                <c:pt idx="7">
                  <c:v>25127.225029576519</c:v>
                </c:pt>
                <c:pt idx="8">
                  <c:v>18169.950474273624</c:v>
                </c:pt>
                <c:pt idx="9">
                  <c:v>11566.533142026259</c:v>
                </c:pt>
                <c:pt idx="10">
                  <c:v>-98116.554781992047</c:v>
                </c:pt>
                <c:pt idx="11">
                  <c:v>-203396.41925892106</c:v>
                </c:pt>
                <c:pt idx="12">
                  <c:v>-235439.36102538867</c:v>
                </c:pt>
                <c:pt idx="13">
                  <c:v>-280860.02162718563</c:v>
                </c:pt>
                <c:pt idx="14">
                  <c:v>-374061.85544101853</c:v>
                </c:pt>
                <c:pt idx="15">
                  <c:v>-362592.1259311281</c:v>
                </c:pt>
                <c:pt idx="16">
                  <c:v>-336760.90183103987</c:v>
                </c:pt>
                <c:pt idx="17">
                  <c:v>-354239.05324894981</c:v>
                </c:pt>
                <c:pt idx="18">
                  <c:v>-364233.24769521796</c:v>
                </c:pt>
                <c:pt idx="19">
                  <c:v>-633306.94603041152</c:v>
                </c:pt>
              </c:numCache>
            </c:numRef>
          </c:val>
          <c:smooth val="0"/>
          <c:extLst>
            <c:ext xmlns:c16="http://schemas.microsoft.com/office/drawing/2014/chart" uri="{C3380CC4-5D6E-409C-BE32-E72D297353CC}">
              <c16:uniqueId val="{00000000-88C2-4003-A253-A9A9B17EB51F}"/>
            </c:ext>
          </c:extLst>
        </c:ser>
        <c:dLbls>
          <c:showLegendKey val="0"/>
          <c:showVal val="0"/>
          <c:showCatName val="0"/>
          <c:showSerName val="0"/>
          <c:showPercent val="0"/>
          <c:showBubbleSize val="0"/>
        </c:dLbls>
        <c:smooth val="0"/>
        <c:axId val="93602944"/>
        <c:axId val="93604864"/>
        <c:extLst>
          <c:ext xmlns:c15="http://schemas.microsoft.com/office/drawing/2012/chart" uri="{02D57815-91ED-43cb-92C2-25804820EDAC}">
            <c15:filteredLineSeries>
              <c15:ser>
                <c:idx val="0"/>
                <c:order val="0"/>
                <c:tx>
                  <c:strRef>
                    <c:extLst>
                      <c:ext uri="{02D57815-91ED-43cb-92C2-25804820EDAC}">
                        <c15:formulaRef>
                          <c15:sqref>'Trial Deposits Engine'!$G$251</c15:sqref>
                        </c15:formulaRef>
                      </c:ext>
                    </c:extLst>
                    <c:strCache>
                      <c:ptCount val="1"/>
                      <c:pt idx="0">
                        <c:v>Year of Deposit or Withdraw</c:v>
                      </c:pt>
                    </c:strCache>
                  </c:strRef>
                </c:tx>
                <c:marker>
                  <c:symbol val="none"/>
                </c:marker>
                <c:val>
                  <c:numRef>
                    <c:extLst>
                      <c:ext uri="{02D57815-91ED-43cb-92C2-25804820EDAC}">
                        <c15:formulaRef>
                          <c15:sqref>'Trial Deposits Engine'!$H$251:$AA$251</c15:sqref>
                        </c15:formulaRef>
                      </c:ext>
                    </c:extLst>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val>
                <c:smooth val="0"/>
                <c:extLst>
                  <c:ext xmlns:c16="http://schemas.microsoft.com/office/drawing/2014/chart" uri="{C3380CC4-5D6E-409C-BE32-E72D297353CC}">
                    <c16:uniqueId val="{00000000-5A08-4BFF-A4B0-3BA3D4CE2E06}"/>
                  </c:ext>
                </c:extLst>
              </c15:ser>
            </c15:filteredLineSeries>
          </c:ext>
        </c:extLst>
      </c:lineChart>
      <c:catAx>
        <c:axId val="93602944"/>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93604864"/>
        <c:crosses val="autoZero"/>
        <c:auto val="1"/>
        <c:lblAlgn val="ctr"/>
        <c:lblOffset val="100"/>
        <c:noMultiLvlLbl val="0"/>
      </c:catAx>
      <c:valAx>
        <c:axId val="93604864"/>
        <c:scaling>
          <c:orientation val="minMax"/>
        </c:scaling>
        <c:delete val="0"/>
        <c:axPos val="l"/>
        <c:majorGridlines/>
        <c:numFmt formatCode="&quot;$&quot;#,##0.00_);[Red]\(&quot;$&quot;#,##0.00\)" sourceLinked="1"/>
        <c:majorTickMark val="out"/>
        <c:minorTickMark val="none"/>
        <c:tickLblPos val="nextTo"/>
        <c:crossAx val="93602944"/>
        <c:crosses val="autoZero"/>
        <c:crossBetween val="between"/>
      </c:valAx>
    </c:plotArea>
    <c:legend>
      <c:legendPos val="r"/>
      <c:layout>
        <c:manualLayout>
          <c:xMode val="edge"/>
          <c:yMode val="edge"/>
          <c:x val="0.17123354918113029"/>
          <c:y val="0.56232582960324973"/>
          <c:w val="0.33733696032223326"/>
          <c:h val="0.33060541706145652"/>
        </c:manualLayout>
      </c:layout>
      <c:overlay val="0"/>
      <c:spPr>
        <a:solidFill>
          <a:schemeClr val="accent1">
            <a:lumMod val="20000"/>
            <a:lumOff val="80000"/>
          </a:schemeClr>
        </a:solidFill>
        <a:ln>
          <a:solidFill>
            <a:schemeClr val="tx1"/>
          </a:solidFill>
        </a:ln>
      </c:spPr>
      <c:txPr>
        <a:bodyPr/>
        <a:lstStyle/>
        <a:p>
          <a:pPr>
            <a:defRPr sz="1400"/>
          </a:pPr>
          <a:endParaRPr lang="en-US"/>
        </a:p>
      </c:tx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Year 11+ Amortization Test </a:t>
            </a:r>
            <a:r>
              <a:rPr lang="en-US" sz="1400"/>
              <a:t>- (though</a:t>
            </a:r>
            <a:r>
              <a:rPr lang="en-US" sz="1400" baseline="0"/>
              <a:t> </a:t>
            </a:r>
            <a:r>
              <a:rPr lang="en-US" sz="1400"/>
              <a:t>shown for all years)</a:t>
            </a:r>
          </a:p>
          <a:p>
            <a:pPr>
              <a:defRPr/>
            </a:pPr>
            <a:r>
              <a:rPr lang="en-US" sz="1400"/>
              <a:t>Components:</a:t>
            </a:r>
            <a:r>
              <a:rPr lang="en-US" sz="1400" baseline="0"/>
              <a:t> RfR</a:t>
            </a:r>
            <a:r>
              <a:rPr lang="en-US" sz="1400"/>
              <a:t> Balances,</a:t>
            </a:r>
            <a:r>
              <a:rPr lang="en-US" sz="1400" baseline="0"/>
              <a:t> the 11th-Term Allowed %-of-paid-down-mortgage-principal offset, and required minimum RfR balances </a:t>
            </a:r>
          </a:p>
          <a:p>
            <a:pPr>
              <a:defRPr/>
            </a:pPr>
            <a:r>
              <a:rPr lang="en-US" sz="1600" baseline="0">
                <a:solidFill>
                  <a:srgbClr val="FFC000"/>
                </a:solidFill>
              </a:rPr>
              <a:t>(Orange column height exceeding Green column height indicates Amortization</a:t>
            </a:r>
            <a:endParaRPr lang="en-US" sz="1600">
              <a:solidFill>
                <a:srgbClr val="FFC000"/>
              </a:solidFill>
            </a:endParaRPr>
          </a:p>
        </c:rich>
      </c:tx>
      <c:layout>
        <c:manualLayout>
          <c:xMode val="edge"/>
          <c:yMode val="edge"/>
          <c:x val="0.1334180402219762"/>
          <c:y val="9.3046437062403193E-3"/>
        </c:manualLayout>
      </c:layout>
      <c:overlay val="1"/>
    </c:title>
    <c:autoTitleDeleted val="0"/>
    <c:plotArea>
      <c:layout>
        <c:manualLayout>
          <c:layoutTarget val="inner"/>
          <c:xMode val="edge"/>
          <c:yMode val="edge"/>
          <c:x val="0.12752471158496492"/>
          <c:y val="0.26862009595739328"/>
          <c:w val="0.81055650652364108"/>
          <c:h val="0.63399738298018915"/>
        </c:manualLayout>
      </c:layout>
      <c:barChart>
        <c:barDir val="col"/>
        <c:grouping val="clustered"/>
        <c:varyColors val="0"/>
        <c:ser>
          <c:idx val="1"/>
          <c:order val="1"/>
          <c:tx>
            <c:strRef>
              <c:f>'Trial Deposits Engine'!$G$259</c:f>
              <c:strCache>
                <c:ptCount val="1"/>
                <c:pt idx="0">
                  <c:v>RfR shortfall vs. minimum requiring offset (inverse of green line below)</c:v>
                </c:pt>
              </c:strCache>
            </c:strRef>
          </c:tx>
          <c:spPr>
            <a:solidFill>
              <a:srgbClr val="92D050"/>
            </a:solidFill>
          </c:spPr>
          <c:invertIfNegative val="0"/>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Engine'!$H$259:$Z$259</c:f>
              <c:numCache>
                <c:formatCode>"$"#,##0.00</c:formatCode>
                <c:ptCount val="19"/>
                <c:pt idx="0">
                  <c:v>0</c:v>
                </c:pt>
                <c:pt idx="1">
                  <c:v>0</c:v>
                </c:pt>
                <c:pt idx="2">
                  <c:v>0</c:v>
                </c:pt>
                <c:pt idx="3">
                  <c:v>0</c:v>
                </c:pt>
                <c:pt idx="4">
                  <c:v>0</c:v>
                </c:pt>
                <c:pt idx="5">
                  <c:v>0</c:v>
                </c:pt>
                <c:pt idx="6">
                  <c:v>0</c:v>
                </c:pt>
                <c:pt idx="7">
                  <c:v>0</c:v>
                </c:pt>
                <c:pt idx="8">
                  <c:v>0</c:v>
                </c:pt>
                <c:pt idx="9">
                  <c:v>0</c:v>
                </c:pt>
                <c:pt idx="10">
                  <c:v>98116.554781992047</c:v>
                </c:pt>
                <c:pt idx="11">
                  <c:v>203396.41925892106</c:v>
                </c:pt>
                <c:pt idx="12">
                  <c:v>235439.36102538867</c:v>
                </c:pt>
                <c:pt idx="13">
                  <c:v>280860.02162718563</c:v>
                </c:pt>
                <c:pt idx="14">
                  <c:v>374061.85544101853</c:v>
                </c:pt>
                <c:pt idx="15">
                  <c:v>362592.1259311281</c:v>
                </c:pt>
                <c:pt idx="16">
                  <c:v>336760.90183103987</c:v>
                </c:pt>
                <c:pt idx="17">
                  <c:v>354239.05324894981</c:v>
                </c:pt>
                <c:pt idx="18">
                  <c:v>364233.24769521796</c:v>
                </c:pt>
              </c:numCache>
            </c:numRef>
          </c:val>
          <c:extLst>
            <c:ext xmlns:c16="http://schemas.microsoft.com/office/drawing/2014/chart" uri="{C3380CC4-5D6E-409C-BE32-E72D297353CC}">
              <c16:uniqueId val="{00000000-2A8A-488A-B56D-51F08B7DBB1C}"/>
            </c:ext>
          </c:extLst>
        </c:ser>
        <c:ser>
          <c:idx val="2"/>
          <c:order val="2"/>
          <c:tx>
            <c:strRef>
              <c:f>'Trial Deposits Engine'!$G$260</c:f>
              <c:strCache>
                <c:ptCount val="1"/>
                <c:pt idx="0">
                  <c:v>Allowed % of cumulative amortization (beg. Yr 11)</c:v>
                </c:pt>
              </c:strCache>
            </c:strRef>
          </c:tx>
          <c:spPr>
            <a:solidFill>
              <a:schemeClr val="accent6"/>
            </a:solidFill>
          </c:spPr>
          <c:invertIfNegative val="0"/>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Engine'!$H$260:$Z$260</c:f>
              <c:numCache>
                <c:formatCode>"$"#,##0.00</c:formatCode>
                <c:ptCount val="19"/>
                <c:pt idx="0">
                  <c:v>90819.301488003985</c:v>
                </c:pt>
                <c:pt idx="1">
                  <c:v>184775.03568828909</c:v>
                </c:pt>
                <c:pt idx="2">
                  <c:v>281975.5188948313</c:v>
                </c:pt>
                <c:pt idx="3">
                  <c:v>382532.8080906684</c:v>
                </c:pt>
                <c:pt idx="4">
                  <c:v>486562.83013210888</c:v>
                </c:pt>
                <c:pt idx="5">
                  <c:v>594185.51539429871</c:v>
                </c:pt>
                <c:pt idx="6">
                  <c:v>705524.93603222212</c:v>
                </c:pt>
                <c:pt idx="7">
                  <c:v>820709.44901652646</c:v>
                </c:pt>
                <c:pt idx="8">
                  <c:v>939871.8441090727</c:v>
                </c:pt>
                <c:pt idx="9">
                  <c:v>1063149.4969487994</c:v>
                </c:pt>
                <c:pt idx="10">
                  <c:v>1190684.5274243893</c:v>
                </c:pt>
                <c:pt idx="11">
                  <c:v>1322623.9635163143</c:v>
                </c:pt>
                <c:pt idx="12">
                  <c:v>1459119.9107971443</c:v>
                </c:pt>
                <c:pt idx="13">
                  <c:v>1600329.7277855272</c:v>
                </c:pt>
                <c:pt idx="14">
                  <c:v>1746416.207355995</c:v>
                </c:pt>
                <c:pt idx="15">
                  <c:v>1897547.764413733</c:v>
                </c:pt>
                <c:pt idx="16">
                  <c:v>2053898.6300506773</c:v>
                </c:pt>
                <c:pt idx="17">
                  <c:v>2215649.0524067618</c:v>
                </c:pt>
                <c:pt idx="18">
                  <c:v>2382985.5044678864</c:v>
                </c:pt>
              </c:numCache>
            </c:numRef>
          </c:val>
          <c:extLst>
            <c:ext xmlns:c16="http://schemas.microsoft.com/office/drawing/2014/chart" uri="{C3380CC4-5D6E-409C-BE32-E72D297353CC}">
              <c16:uniqueId val="{00000001-2A8A-488A-B56D-51F08B7DBB1C}"/>
            </c:ext>
          </c:extLst>
        </c:ser>
        <c:dLbls>
          <c:showLegendKey val="0"/>
          <c:showVal val="0"/>
          <c:showCatName val="0"/>
          <c:showSerName val="0"/>
          <c:showPercent val="0"/>
          <c:showBubbleSize val="0"/>
        </c:dLbls>
        <c:gapWidth val="150"/>
        <c:axId val="116511872"/>
        <c:axId val="116514176"/>
      </c:barChart>
      <c:lineChart>
        <c:grouping val="standard"/>
        <c:varyColors val="0"/>
        <c:ser>
          <c:idx val="0"/>
          <c:order val="0"/>
          <c:tx>
            <c:strRef>
              <c:f>'Trial Deposits Engine'!$G$258</c:f>
              <c:strCache>
                <c:ptCount val="1"/>
                <c:pt idx="0">
                  <c:v>Ending RfR Balance</c:v>
                </c:pt>
              </c:strCache>
            </c:strRef>
          </c:tx>
          <c:marker>
            <c:symbol val="none"/>
          </c:marker>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Engine'!$H$258:$Z$258</c:f>
              <c:numCache>
                <c:formatCode>"$"#,##0.00_);[Red]\("$"#,##0.00\)</c:formatCode>
                <c:ptCount val="19"/>
                <c:pt idx="0">
                  <c:v>221800</c:v>
                </c:pt>
                <c:pt idx="1">
                  <c:v>230232</c:v>
                </c:pt>
                <c:pt idx="2">
                  <c:v>177387.4</c:v>
                </c:pt>
                <c:pt idx="3">
                  <c:v>152218.12939999998</c:v>
                </c:pt>
                <c:pt idx="4">
                  <c:v>124372.55810899998</c:v>
                </c:pt>
                <c:pt idx="5">
                  <c:v>99256.946383994975</c:v>
                </c:pt>
                <c:pt idx="6">
                  <c:v>102677.81648118209</c:v>
                </c:pt>
                <c:pt idx="7">
                  <c:v>82734.959947855561</c:v>
                </c:pt>
                <c:pt idx="8">
                  <c:v>76929.840090918253</c:v>
                </c:pt>
                <c:pt idx="9">
                  <c:v>71501.620551003783</c:v>
                </c:pt>
                <c:pt idx="10">
                  <c:v>-36982.765624834967</c:v>
                </c:pt>
                <c:pt idx="11">
                  <c:v>-141039.95431862085</c:v>
                </c:pt>
                <c:pt idx="12">
                  <c:v>-171835.76678628245</c:v>
                </c:pt>
                <c:pt idx="13">
                  <c:v>-215984.35550329729</c:v>
                </c:pt>
                <c:pt idx="14">
                  <c:v>-307888.67599465244</c:v>
                </c:pt>
                <c:pt idx="15">
                  <c:v>-295095.48289583466</c:v>
                </c:pt>
                <c:pt idx="16">
                  <c:v>-267914.32593504054</c:v>
                </c:pt>
                <c:pt idx="17">
                  <c:v>-284015.5458350305</c:v>
                </c:pt>
                <c:pt idx="18">
                  <c:v>-292605.2701330203</c:v>
                </c:pt>
              </c:numCache>
            </c:numRef>
          </c:val>
          <c:smooth val="0"/>
          <c:extLst>
            <c:ext xmlns:c16="http://schemas.microsoft.com/office/drawing/2014/chart" uri="{C3380CC4-5D6E-409C-BE32-E72D297353CC}">
              <c16:uniqueId val="{00000002-2A8A-488A-B56D-51F08B7DBB1C}"/>
            </c:ext>
          </c:extLst>
        </c:ser>
        <c:ser>
          <c:idx val="3"/>
          <c:order val="3"/>
          <c:tx>
            <c:strRef>
              <c:f>'Trial Deposits Engine'!$G$254</c:f>
              <c:strCache>
                <c:ptCount val="1"/>
                <c:pt idx="0">
                  <c:v>Margin exceeding Minimum Balance</c:v>
                </c:pt>
              </c:strCache>
            </c:strRef>
          </c:tx>
          <c:spPr>
            <a:ln>
              <a:solidFill>
                <a:srgbClr val="92D050"/>
              </a:solidFill>
            </a:ln>
          </c:spPr>
          <c:marker>
            <c:symbol val="none"/>
          </c:marker>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Engine'!$H$254:$Z$254</c:f>
              <c:numCache>
                <c:formatCode>"$"#,##0.00</c:formatCode>
                <c:ptCount val="19"/>
                <c:pt idx="0">
                  <c:v>171649</c:v>
                </c:pt>
                <c:pt idx="1">
                  <c:v>179077.97999999998</c:v>
                </c:pt>
                <c:pt idx="2">
                  <c:v>125210.2996</c:v>
                </c:pt>
                <c:pt idx="3">
                  <c:v>98997.486991999976</c:v>
                </c:pt>
                <c:pt idx="4">
                  <c:v>70087.502852839971</c:v>
                </c:pt>
                <c:pt idx="5">
                  <c:v>43886.190022711773</c:v>
                </c:pt>
                <c:pt idx="6">
                  <c:v>46199.644992673224</c:v>
                </c:pt>
                <c:pt idx="7">
                  <c:v>25127.225029576519</c:v>
                </c:pt>
                <c:pt idx="8">
                  <c:v>18169.950474273624</c:v>
                </c:pt>
                <c:pt idx="9">
                  <c:v>11566.533142026259</c:v>
                </c:pt>
                <c:pt idx="10">
                  <c:v>-98116.554781992047</c:v>
                </c:pt>
                <c:pt idx="11">
                  <c:v>-203396.41925892106</c:v>
                </c:pt>
                <c:pt idx="12">
                  <c:v>-235439.36102538867</c:v>
                </c:pt>
                <c:pt idx="13">
                  <c:v>-280860.02162718563</c:v>
                </c:pt>
                <c:pt idx="14">
                  <c:v>-374061.85544101853</c:v>
                </c:pt>
                <c:pt idx="15">
                  <c:v>-362592.1259311281</c:v>
                </c:pt>
                <c:pt idx="16">
                  <c:v>-336760.90183103987</c:v>
                </c:pt>
                <c:pt idx="17">
                  <c:v>-354239.05324894981</c:v>
                </c:pt>
                <c:pt idx="18">
                  <c:v>-364233.24769521796</c:v>
                </c:pt>
              </c:numCache>
            </c:numRef>
          </c:val>
          <c:smooth val="0"/>
          <c:extLst>
            <c:ext xmlns:c16="http://schemas.microsoft.com/office/drawing/2014/chart" uri="{C3380CC4-5D6E-409C-BE32-E72D297353CC}">
              <c16:uniqueId val="{00000000-9B88-4ABE-821F-68C538FCDB71}"/>
            </c:ext>
          </c:extLst>
        </c:ser>
        <c:dLbls>
          <c:showLegendKey val="0"/>
          <c:showVal val="0"/>
          <c:showCatName val="0"/>
          <c:showSerName val="0"/>
          <c:showPercent val="0"/>
          <c:showBubbleSize val="0"/>
        </c:dLbls>
        <c:marker val="1"/>
        <c:smooth val="0"/>
        <c:axId val="116511872"/>
        <c:axId val="116514176"/>
      </c:lineChart>
      <c:catAx>
        <c:axId val="116511872"/>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116514176"/>
        <c:crosses val="autoZero"/>
        <c:auto val="1"/>
        <c:lblAlgn val="ctr"/>
        <c:lblOffset val="100"/>
        <c:noMultiLvlLbl val="0"/>
      </c:catAx>
      <c:valAx>
        <c:axId val="116514176"/>
        <c:scaling>
          <c:orientation val="minMax"/>
        </c:scaling>
        <c:delete val="0"/>
        <c:axPos val="l"/>
        <c:majorGridlines/>
        <c:numFmt formatCode="&quot;$&quot;#,##0.00" sourceLinked="1"/>
        <c:majorTickMark val="out"/>
        <c:minorTickMark val="none"/>
        <c:tickLblPos val="nextTo"/>
        <c:crossAx val="116511872"/>
        <c:crosses val="autoZero"/>
        <c:crossBetween val="between"/>
      </c:valAx>
    </c:plotArea>
    <c:legend>
      <c:legendPos val="r"/>
      <c:layout>
        <c:manualLayout>
          <c:xMode val="edge"/>
          <c:yMode val="edge"/>
          <c:x val="0.14334502536722987"/>
          <c:y val="0.30226754204200934"/>
          <c:w val="0.59363249764607284"/>
          <c:h val="0.1403415708770476"/>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Required Minimum Balance Test (RfR minus Req. Min. Bal.)</a:t>
            </a:r>
          </a:p>
          <a:p>
            <a:pPr>
              <a:defRPr/>
            </a:pPr>
            <a:r>
              <a:rPr lang="en-US"/>
              <a:t>Margin</a:t>
            </a:r>
            <a:r>
              <a:rPr lang="en-US" baseline="0"/>
              <a:t> Exceeding Required Minimum Balance</a:t>
            </a:r>
          </a:p>
          <a:p>
            <a:pPr>
              <a:defRPr/>
            </a:pPr>
            <a:r>
              <a:rPr lang="en-US" baseline="0"/>
              <a:t>Note: Year 11+ Req. Min. Balance deficits can be mitigated using an Amortization Test</a:t>
            </a:r>
            <a:endParaRPr lang="en-US"/>
          </a:p>
        </c:rich>
      </c:tx>
      <c:layout>
        <c:manualLayout>
          <c:xMode val="edge"/>
          <c:yMode val="edge"/>
          <c:x val="0.13519419308820857"/>
          <c:y val="7.3008788839154445E-2"/>
        </c:manualLayout>
      </c:layout>
      <c:overlay val="1"/>
    </c:title>
    <c:autoTitleDeleted val="0"/>
    <c:plotArea>
      <c:layout>
        <c:manualLayout>
          <c:layoutTarget val="inner"/>
          <c:xMode val="edge"/>
          <c:yMode val="edge"/>
          <c:x val="0.12752471158496492"/>
          <c:y val="0.26862009595739339"/>
          <c:w val="0.81055650652364108"/>
          <c:h val="0.63399738298018948"/>
        </c:manualLayout>
      </c:layout>
      <c:lineChart>
        <c:grouping val="standard"/>
        <c:varyColors val="0"/>
        <c:ser>
          <c:idx val="2"/>
          <c:order val="2"/>
          <c:tx>
            <c:strRef>
              <c:f>'Trial Deposits Engine'!$G$254</c:f>
              <c:strCache>
                <c:ptCount val="1"/>
                <c:pt idx="0">
                  <c:v>Margin exceeding Minimum Balance</c:v>
                </c:pt>
              </c:strCache>
            </c:strRef>
          </c:tx>
          <c:marker>
            <c:symbol val="none"/>
          </c:marker>
          <c:cat>
            <c:numRef>
              <c:f>'Trial Deposits Engine'!$H$251:$AA$251</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Engine'!$H$254:$AA$254</c:f>
              <c:numCache>
                <c:formatCode>"$"#,##0.00</c:formatCode>
                <c:ptCount val="20"/>
                <c:pt idx="0">
                  <c:v>171649</c:v>
                </c:pt>
                <c:pt idx="1">
                  <c:v>179077.97999999998</c:v>
                </c:pt>
                <c:pt idx="2">
                  <c:v>125210.2996</c:v>
                </c:pt>
                <c:pt idx="3">
                  <c:v>98997.486991999976</c:v>
                </c:pt>
                <c:pt idx="4">
                  <c:v>70087.502852839971</c:v>
                </c:pt>
                <c:pt idx="5">
                  <c:v>43886.190022711773</c:v>
                </c:pt>
                <c:pt idx="6">
                  <c:v>46199.644992673224</c:v>
                </c:pt>
                <c:pt idx="7">
                  <c:v>25127.225029576519</c:v>
                </c:pt>
                <c:pt idx="8">
                  <c:v>18169.950474273624</c:v>
                </c:pt>
                <c:pt idx="9">
                  <c:v>11566.533142026259</c:v>
                </c:pt>
                <c:pt idx="10">
                  <c:v>-98116.554781992047</c:v>
                </c:pt>
                <c:pt idx="11">
                  <c:v>-203396.41925892106</c:v>
                </c:pt>
                <c:pt idx="12">
                  <c:v>-235439.36102538867</c:v>
                </c:pt>
                <c:pt idx="13">
                  <c:v>-280860.02162718563</c:v>
                </c:pt>
                <c:pt idx="14">
                  <c:v>-374061.85544101853</c:v>
                </c:pt>
                <c:pt idx="15">
                  <c:v>-362592.1259311281</c:v>
                </c:pt>
                <c:pt idx="16">
                  <c:v>-336760.90183103987</c:v>
                </c:pt>
                <c:pt idx="17">
                  <c:v>-354239.05324894981</c:v>
                </c:pt>
                <c:pt idx="18">
                  <c:v>-364233.24769521796</c:v>
                </c:pt>
                <c:pt idx="19">
                  <c:v>-633306.94603041152</c:v>
                </c:pt>
              </c:numCache>
            </c:numRef>
          </c:val>
          <c:smooth val="0"/>
          <c:extLst>
            <c:ext xmlns:c16="http://schemas.microsoft.com/office/drawing/2014/chart" uri="{C3380CC4-5D6E-409C-BE32-E72D297353CC}">
              <c16:uniqueId val="{00000002-79BC-400B-ACDB-1FF8BD01BB1B}"/>
            </c:ext>
          </c:extLst>
        </c:ser>
        <c:dLbls>
          <c:showLegendKey val="0"/>
          <c:showVal val="0"/>
          <c:showCatName val="0"/>
          <c:showSerName val="0"/>
          <c:showPercent val="0"/>
          <c:showBubbleSize val="0"/>
        </c:dLbls>
        <c:smooth val="0"/>
        <c:axId val="93602944"/>
        <c:axId val="93604864"/>
        <c:extLst>
          <c:ext xmlns:c15="http://schemas.microsoft.com/office/drawing/2012/chart" uri="{02D57815-91ED-43cb-92C2-25804820EDAC}">
            <c15:filteredLineSeries>
              <c15:ser>
                <c:idx val="0"/>
                <c:order val="0"/>
                <c:tx>
                  <c:strRef>
                    <c:extLst>
                      <c:ext uri="{02D57815-91ED-43cb-92C2-25804820EDAC}">
                        <c15:formulaRef>
                          <c15:sqref>'Trial Deposits Engine'!$G$252</c15:sqref>
                        </c15:formulaRef>
                      </c:ext>
                    </c:extLst>
                    <c:strCache>
                      <c:ptCount val="1"/>
                      <c:pt idx="0">
                        <c:v>Ending RfR Balance</c:v>
                      </c:pt>
                    </c:strCache>
                  </c:strRef>
                </c:tx>
                <c:marker>
                  <c:symbol val="none"/>
                </c:marker>
                <c:cat>
                  <c:numRef>
                    <c:extLst>
                      <c:ext uri="{02D57815-91ED-43cb-92C2-25804820EDAC}">
                        <c15:formulaRef>
                          <c15:sqref>'Trial Deposits Engine'!$H$251:$AA$251</c15:sqref>
                        </c15:formulaRef>
                      </c:ext>
                    </c:extLst>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extLst>
                      <c:ext uri="{02D57815-91ED-43cb-92C2-25804820EDAC}">
                        <c15:formulaRef>
                          <c15:sqref>'Trial Deposits Engine'!$H$252:$Z$252</c15:sqref>
                        </c15:formulaRef>
                      </c:ext>
                    </c:extLst>
                    <c:numCache>
                      <c:formatCode>"$"#,##0.00_);[Red]\("$"#,##0.00\)</c:formatCode>
                      <c:ptCount val="19"/>
                      <c:pt idx="0">
                        <c:v>221800</c:v>
                      </c:pt>
                      <c:pt idx="1">
                        <c:v>230232</c:v>
                      </c:pt>
                      <c:pt idx="2">
                        <c:v>177387.4</c:v>
                      </c:pt>
                      <c:pt idx="3">
                        <c:v>152218.12939999998</c:v>
                      </c:pt>
                      <c:pt idx="4">
                        <c:v>124372.55810899998</c:v>
                      </c:pt>
                      <c:pt idx="5">
                        <c:v>99256.946383994975</c:v>
                      </c:pt>
                      <c:pt idx="6">
                        <c:v>102677.81648118209</c:v>
                      </c:pt>
                      <c:pt idx="7">
                        <c:v>82734.959947855561</c:v>
                      </c:pt>
                      <c:pt idx="8">
                        <c:v>76929.840090918253</c:v>
                      </c:pt>
                      <c:pt idx="9">
                        <c:v>71501.620551003783</c:v>
                      </c:pt>
                      <c:pt idx="10">
                        <c:v>-36982.765624834967</c:v>
                      </c:pt>
                      <c:pt idx="11">
                        <c:v>-141039.95431862085</c:v>
                      </c:pt>
                      <c:pt idx="12">
                        <c:v>-171835.76678628245</c:v>
                      </c:pt>
                      <c:pt idx="13">
                        <c:v>-215984.35550329729</c:v>
                      </c:pt>
                      <c:pt idx="14">
                        <c:v>-307888.67599465244</c:v>
                      </c:pt>
                      <c:pt idx="15">
                        <c:v>-295095.48289583466</c:v>
                      </c:pt>
                      <c:pt idx="16">
                        <c:v>-267914.32593504054</c:v>
                      </c:pt>
                      <c:pt idx="17">
                        <c:v>-284015.5458350305</c:v>
                      </c:pt>
                      <c:pt idx="18">
                        <c:v>-292605.2701330203</c:v>
                      </c:pt>
                    </c:numCache>
                  </c:numRef>
                </c:val>
                <c:smooth val="0"/>
                <c:extLst>
                  <c:ext xmlns:c16="http://schemas.microsoft.com/office/drawing/2014/chart" uri="{C3380CC4-5D6E-409C-BE32-E72D297353CC}">
                    <c16:uniqueId val="{00000000-79BC-400B-ACDB-1FF8BD01BB1B}"/>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'Trial Deposits Engine'!$G$253</c15:sqref>
                        </c15:formulaRef>
                      </c:ext>
                    </c:extLst>
                    <c:strCache>
                      <c:ptCount val="1"/>
                      <c:pt idx="0">
                        <c:v>Estimate Period Minimum Balance-inflated</c:v>
                      </c:pt>
                    </c:strCache>
                  </c:strRef>
                </c:tx>
                <c:marker>
                  <c:symbol val="none"/>
                </c:marker>
                <c:cat>
                  <c:numRef>
                    <c:extLst xmlns:c15="http://schemas.microsoft.com/office/drawing/2012/chart">
                      <c:ext xmlns:c15="http://schemas.microsoft.com/office/drawing/2012/chart" uri="{02D57815-91ED-43cb-92C2-25804820EDAC}">
                        <c15:formulaRef>
                          <c15:sqref>'Trial Deposits Engine'!$H$251:$AA$251</c15:sqref>
                        </c15:formulaRef>
                      </c:ext>
                    </c:extLst>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extLst xmlns:c15="http://schemas.microsoft.com/office/drawing/2012/chart">
                      <c:ext xmlns:c15="http://schemas.microsoft.com/office/drawing/2012/chart" uri="{02D57815-91ED-43cb-92C2-25804820EDAC}">
                        <c15:formulaRef>
                          <c15:sqref>'Trial Deposits Engine'!$H$253:$Z$253</c15:sqref>
                        </c15:formulaRef>
                      </c:ext>
                    </c:extLst>
                    <c:numCache>
                      <c:formatCode>"$"#,##0.00</c:formatCode>
                      <c:ptCount val="19"/>
                      <c:pt idx="0">
                        <c:v>50151</c:v>
                      </c:pt>
                      <c:pt idx="1">
                        <c:v>51154.020000000004</c:v>
                      </c:pt>
                      <c:pt idx="2">
                        <c:v>52177.100400000003</c:v>
                      </c:pt>
                      <c:pt idx="3">
                        <c:v>53220.642408</c:v>
                      </c:pt>
                      <c:pt idx="4">
                        <c:v>54285.055256159998</c:v>
                      </c:pt>
                      <c:pt idx="5">
                        <c:v>55370.756361283202</c:v>
                      </c:pt>
                      <c:pt idx="6">
                        <c:v>56478.171488508866</c:v>
                      </c:pt>
                      <c:pt idx="7">
                        <c:v>57607.734918279042</c:v>
                      </c:pt>
                      <c:pt idx="8">
                        <c:v>58759.889616644628</c:v>
                      </c:pt>
                      <c:pt idx="9">
                        <c:v>59935.087408977524</c:v>
                      </c:pt>
                      <c:pt idx="10">
                        <c:v>61133.789157157073</c:v>
                      </c:pt>
                      <c:pt idx="11">
                        <c:v>62356.464940300211</c:v>
                      </c:pt>
                      <c:pt idx="12">
                        <c:v>63603.59423910622</c:v>
                      </c:pt>
                      <c:pt idx="13">
                        <c:v>64875.666123888339</c:v>
                      </c:pt>
                      <c:pt idx="14">
                        <c:v>66173.179446366106</c:v>
                      </c:pt>
                      <c:pt idx="15">
                        <c:v>67496.64303529344</c:v>
                      </c:pt>
                      <c:pt idx="16">
                        <c:v>68846.575895999311</c:v>
                      </c:pt>
                      <c:pt idx="17">
                        <c:v>70223.507413919302</c:v>
                      </c:pt>
                      <c:pt idx="18">
                        <c:v>71627.977562197688</c:v>
                      </c:pt>
                    </c:numCache>
                  </c:numRef>
                </c:val>
                <c:smooth val="0"/>
                <c:extLst xmlns:c15="http://schemas.microsoft.com/office/drawing/2012/chart">
                  <c:ext xmlns:c16="http://schemas.microsoft.com/office/drawing/2014/chart" uri="{C3380CC4-5D6E-409C-BE32-E72D297353CC}">
                    <c16:uniqueId val="{00000001-79BC-400B-ACDB-1FF8BD01BB1B}"/>
                  </c:ext>
                </c:extLst>
              </c15:ser>
            </c15:filteredLineSeries>
          </c:ext>
        </c:extLst>
      </c:lineChart>
      <c:catAx>
        <c:axId val="93602944"/>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93604864"/>
        <c:crosses val="autoZero"/>
        <c:auto val="1"/>
        <c:lblAlgn val="ctr"/>
        <c:lblOffset val="100"/>
        <c:noMultiLvlLbl val="0"/>
      </c:catAx>
      <c:valAx>
        <c:axId val="93604864"/>
        <c:scaling>
          <c:orientation val="minMax"/>
        </c:scaling>
        <c:delete val="0"/>
        <c:axPos val="l"/>
        <c:majorGridlines/>
        <c:numFmt formatCode="&quot;$&quot;#,##0.00" sourceLinked="1"/>
        <c:majorTickMark val="out"/>
        <c:minorTickMark val="none"/>
        <c:tickLblPos val="nextTo"/>
        <c:crossAx val="93602944"/>
        <c:crosses val="autoZero"/>
        <c:crossBetween val="between"/>
      </c:valAx>
    </c:plotArea>
    <c:legend>
      <c:legendPos val="r"/>
      <c:layout>
        <c:manualLayout>
          <c:xMode val="edge"/>
          <c:yMode val="edge"/>
          <c:x val="0.21208612466958501"/>
          <c:y val="0.60381960553685976"/>
          <c:w val="0.31016739166345514"/>
          <c:h val="0.17046427287875324"/>
        </c:manualLayout>
      </c:layout>
      <c:overlay val="0"/>
      <c:spPr>
        <a:solidFill>
          <a:schemeClr val="accent1">
            <a:lumMod val="20000"/>
            <a:lumOff val="80000"/>
          </a:schemeClr>
        </a:solidFill>
        <a:ln>
          <a:solidFill>
            <a:schemeClr val="tx1"/>
          </a:solidFill>
        </a:ln>
      </c:spPr>
      <c:txPr>
        <a:bodyPr/>
        <a:lstStyle/>
        <a:p>
          <a:pPr>
            <a:defRPr sz="1400"/>
          </a:pPr>
          <a:endParaRPr lang="en-US"/>
        </a:p>
      </c:txPr>
    </c:legend>
    <c:plotVisOnly val="1"/>
    <c:dispBlanksAs val="zero"/>
    <c:showDLblsOverMax val="0"/>
  </c:chart>
  <c:printSettings>
    <c:headerFooter/>
    <c:pageMargins b="0.75000000000000078" l="0.70000000000000062" r="0.70000000000000062" t="0.75000000000000078"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Ratio of Annual Deposit to Inflated Need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985892388451443"/>
          <c:y val="0.19721055701370663"/>
          <c:w val="0.84569663167104114"/>
          <c:h val="0.77736111111111106"/>
        </c:manualLayout>
      </c:layout>
      <c:barChart>
        <c:barDir val="col"/>
        <c:grouping val="clustered"/>
        <c:varyColors val="0"/>
        <c:ser>
          <c:idx val="0"/>
          <c:order val="0"/>
          <c:tx>
            <c:strRef>
              <c:f>'Trial Dep. Projections Sumry'!$C$65</c:f>
              <c:strCache>
                <c:ptCount val="1"/>
                <c:pt idx="0">
                  <c:v>Ratio of Inflated Need vs. Annual Dep.</c:v>
                </c:pt>
              </c:strCache>
            </c:strRef>
          </c:tx>
          <c:spPr>
            <a:solidFill>
              <a:schemeClr val="accent1"/>
            </a:solidFill>
            <a:ln>
              <a:noFill/>
            </a:ln>
            <a:effectLst/>
          </c:spPr>
          <c:invertIfNegative val="0"/>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3E5-4C3B-9397-FCFDF6227A77}"/>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3E5-4C3B-9397-FCFDF6227A77}"/>
                </c:ext>
              </c:extLst>
            </c:dLbl>
            <c:dLbl>
              <c:idx val="1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3E5-4C3B-9397-FCFDF6227A77}"/>
                </c:ext>
              </c:extLst>
            </c:dLbl>
            <c:dLbl>
              <c:idx val="1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3E5-4C3B-9397-FCFDF6227A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'Trial Dep. Projections Sumry'!$I$65:$AB$65</c:f>
              <c:numCache>
                <c:formatCode>0.0%</c:formatCode>
                <c:ptCount val="20"/>
                <c:pt idx="0">
                  <c:v>0</c:v>
                </c:pt>
                <c:pt idx="1">
                  <c:v>1.4444285509941353</c:v>
                </c:pt>
                <c:pt idx="2">
                  <c:v>0.26788629093084343</c:v>
                </c:pt>
                <c:pt idx="3">
                  <c:v>0.43020184267638506</c:v>
                </c:pt>
                <c:pt idx="4">
                  <c:v>0.41566604154302672</c:v>
                </c:pt>
                <c:pt idx="5">
                  <c:v>0.447581997120511</c:v>
                </c:pt>
                <c:pt idx="6">
                  <c:v>1.0948647697843072</c:v>
                </c:pt>
                <c:pt idx="7">
                  <c:v>0.514255459774702</c:v>
                </c:pt>
                <c:pt idx="8">
                  <c:v>0.76703110411125353</c:v>
                </c:pt>
                <c:pt idx="9">
                  <c:v>0.7823717261934785</c:v>
                </c:pt>
                <c:pt idx="10">
                  <c:v>0.18053368176266665</c:v>
                </c:pt>
                <c:pt idx="11">
                  <c:v>0.19132403327904288</c:v>
                </c:pt>
                <c:pt idx="12">
                  <c:v>0.44915998948858643</c:v>
                </c:pt>
                <c:pt idx="13">
                  <c:v>0.36715419975036789</c:v>
                </c:pt>
                <c:pt idx="14">
                  <c:v>0.2213477887710317</c:v>
                </c:pt>
                <c:pt idx="15">
                  <c:v>1.9233629086118924</c:v>
                </c:pt>
                <c:pt idx="16">
                  <c:v>0</c:v>
                </c:pt>
                <c:pt idx="17">
                  <c:v>0.63261032492150804</c:v>
                </c:pt>
                <c:pt idx="18">
                  <c:v>0.76702041557976119</c:v>
                </c:pt>
                <c:pt idx="19">
                  <c:v>9.7289117246852852E-2</c:v>
                </c:pt>
              </c:numCache>
            </c:numRef>
          </c:val>
          <c:extLst>
            <c:ext xmlns:c16="http://schemas.microsoft.com/office/drawing/2014/chart" uri="{C3380CC4-5D6E-409C-BE32-E72D297353CC}">
              <c16:uniqueId val="{00000000-63E5-4C3B-9397-FCFDF6227A77}"/>
            </c:ext>
          </c:extLst>
        </c:ser>
        <c:dLbls>
          <c:showLegendKey val="0"/>
          <c:showVal val="0"/>
          <c:showCatName val="0"/>
          <c:showSerName val="0"/>
          <c:showPercent val="0"/>
          <c:showBubbleSize val="0"/>
        </c:dLbls>
        <c:gapWidth val="219"/>
        <c:overlap val="-27"/>
        <c:axId val="386874008"/>
        <c:axId val="386870728"/>
      </c:barChart>
      <c:catAx>
        <c:axId val="386874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6870728"/>
        <c:crosses val="autoZero"/>
        <c:auto val="1"/>
        <c:lblAlgn val="ctr"/>
        <c:lblOffset val="100"/>
        <c:noMultiLvlLbl val="0"/>
      </c:catAx>
      <c:valAx>
        <c:axId val="386870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687400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Cumulative Inflated</a:t>
            </a:r>
            <a:r>
              <a:rPr lang="en-US" baseline="0"/>
              <a:t> Needs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'Trial Dep. Projections Sumry'!$C$63</c:f>
              <c:strCache>
                <c:ptCount val="1"/>
                <c:pt idx="0">
                  <c:v>Cumulative Annual Needs vs. Total</c:v>
                </c:pt>
              </c:strCache>
            </c:strRef>
          </c:tx>
          <c:spPr>
            <a:solidFill>
              <a:schemeClr val="accent1"/>
            </a:solidFill>
            <a:ln>
              <a:noFill/>
            </a:ln>
            <a:effectLst/>
          </c:spPr>
          <c:invertIfNegative val="0"/>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02E-48D7-8FCB-104FB8171577}"/>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02E-48D7-8FCB-104FB8171577}"/>
                </c:ext>
              </c:extLst>
            </c:dLbl>
            <c:dLbl>
              <c:idx val="1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02E-48D7-8FCB-104FB8171577}"/>
                </c:ext>
              </c:extLst>
            </c:dLbl>
            <c:dLbl>
              <c:idx val="1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02E-48D7-8FCB-104FB817157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'Trial Dep. Projections Sumry'!$I$63:$AB$63</c:f>
              <c:numCache>
                <c:formatCode>0.0%</c:formatCode>
                <c:ptCount val="20"/>
                <c:pt idx="0">
                  <c:v>0</c:v>
                </c:pt>
                <c:pt idx="1">
                  <c:v>1.1076500896767202E-2</c:v>
                </c:pt>
                <c:pt idx="2">
                  <c:v>7.1994879237462686E-2</c:v>
                </c:pt>
                <c:pt idx="3">
                  <c:v>0.11068737364455064</c:v>
                </c:pt>
                <c:pt idx="4">
                  <c:v>0.15153385216966964</c:v>
                </c:pt>
                <c:pt idx="5">
                  <c:v>0.19022634657675758</c:v>
                </c:pt>
                <c:pt idx="6">
                  <c:v>0.20636023423686062</c:v>
                </c:pt>
                <c:pt idx="7">
                  <c:v>0.24139673868267117</c:v>
                </c:pt>
                <c:pt idx="8">
                  <c:v>0.26535674223171452</c:v>
                </c:pt>
                <c:pt idx="9">
                  <c:v>0.28931674578075783</c:v>
                </c:pt>
                <c:pt idx="10">
                  <c:v>0.39522796265899396</c:v>
                </c:pt>
                <c:pt idx="11">
                  <c:v>0.49716472631172004</c:v>
                </c:pt>
                <c:pt idx="12">
                  <c:v>0.54145409375812004</c:v>
                </c:pt>
                <c:pt idx="13">
                  <c:v>0.59671935306009927</c:v>
                </c:pt>
                <c:pt idx="14">
                  <c:v>0.690222385590884</c:v>
                </c:pt>
                <c:pt idx="15">
                  <c:v>0.70119827744646324</c:v>
                </c:pt>
                <c:pt idx="16">
                  <c:v>0.70119827744646324</c:v>
                </c:pt>
                <c:pt idx="17">
                  <c:v>0.73591711082521583</c:v>
                </c:pt>
                <c:pt idx="18">
                  <c:v>0.76512462845952489</c:v>
                </c:pt>
                <c:pt idx="19">
                  <c:v>0.99999999999999978</c:v>
                </c:pt>
              </c:numCache>
            </c:numRef>
          </c:val>
          <c:extLst>
            <c:ext xmlns:c16="http://schemas.microsoft.com/office/drawing/2014/chart" uri="{C3380CC4-5D6E-409C-BE32-E72D297353CC}">
              <c16:uniqueId val="{00000000-502E-48D7-8FCB-104FB8171577}"/>
            </c:ext>
          </c:extLst>
        </c:ser>
        <c:dLbls>
          <c:showLegendKey val="0"/>
          <c:showVal val="0"/>
          <c:showCatName val="0"/>
          <c:showSerName val="0"/>
          <c:showPercent val="0"/>
          <c:showBubbleSize val="0"/>
        </c:dLbls>
        <c:gapWidth val="150"/>
        <c:axId val="383681152"/>
        <c:axId val="383680824"/>
      </c:barChart>
      <c:catAx>
        <c:axId val="383681152"/>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3680824"/>
        <c:crosses val="autoZero"/>
        <c:auto val="1"/>
        <c:lblAlgn val="ctr"/>
        <c:lblOffset val="100"/>
        <c:noMultiLvlLbl val="0"/>
      </c:catAx>
      <c:valAx>
        <c:axId val="3836808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368115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985892388451443"/>
          <c:y val="0.2587580198308545"/>
          <c:w val="0.84569663167104114"/>
          <c:h val="0.65699074074074071"/>
        </c:manualLayout>
      </c:layout>
      <c:barChart>
        <c:barDir val="col"/>
        <c:grouping val="clustered"/>
        <c:varyColors val="0"/>
        <c:ser>
          <c:idx val="0"/>
          <c:order val="0"/>
          <c:tx>
            <c:strRef>
              <c:f>'Trial Dep. Projections Sumry'!$C$62</c:f>
              <c:strCache>
                <c:ptCount val="1"/>
                <c:pt idx="0">
                  <c:v>Ratio of Period Needs vs. Total needs</c:v>
                </c:pt>
              </c:strCache>
            </c:strRef>
          </c:tx>
          <c:spPr>
            <a:solidFill>
              <a:schemeClr val="accent1"/>
            </a:solidFill>
            <a:ln>
              <a:noFill/>
            </a:ln>
            <a:effectLst/>
          </c:spPr>
          <c:invertIfNegative val="0"/>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A81-434D-B88D-9F71A0463A89}"/>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A81-434D-B88D-9F71A0463A89}"/>
                </c:ext>
              </c:extLst>
            </c:dLbl>
            <c:dLbl>
              <c:idx val="1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A81-434D-B88D-9F71A0463A89}"/>
                </c:ext>
              </c:extLst>
            </c:dLbl>
            <c:dLbl>
              <c:idx val="1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A81-434D-B88D-9F71A0463A8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'Trial Dep. Projections Sumry'!$I$62:$AB$62</c:f>
              <c:numCache>
                <c:formatCode>0.0%</c:formatCode>
                <c:ptCount val="20"/>
                <c:pt idx="0">
                  <c:v>0</c:v>
                </c:pt>
                <c:pt idx="1">
                  <c:v>1.1076500896767202E-2</c:v>
                </c:pt>
                <c:pt idx="2">
                  <c:v>6.0918378340695488E-2</c:v>
                </c:pt>
                <c:pt idx="3">
                  <c:v>3.8692494407087948E-2</c:v>
                </c:pt>
                <c:pt idx="4">
                  <c:v>4.0846478525118989E-2</c:v>
                </c:pt>
                <c:pt idx="5">
                  <c:v>3.8692494407087948E-2</c:v>
                </c:pt>
                <c:pt idx="6">
                  <c:v>1.6133887660103048E-2</c:v>
                </c:pt>
                <c:pt idx="7">
                  <c:v>3.5036504445810544E-2</c:v>
                </c:pt>
                <c:pt idx="8">
                  <c:v>2.3960003549043343E-2</c:v>
                </c:pt>
                <c:pt idx="9">
                  <c:v>2.3960003549043343E-2</c:v>
                </c:pt>
                <c:pt idx="10">
                  <c:v>0.10591121687823613</c:v>
                </c:pt>
                <c:pt idx="11">
                  <c:v>0.10193676365272611</c:v>
                </c:pt>
                <c:pt idx="12">
                  <c:v>4.4289367446399941E-2</c:v>
                </c:pt>
                <c:pt idx="13">
                  <c:v>5.5265259301979223E-2</c:v>
                </c:pt>
                <c:pt idx="14">
                  <c:v>9.3503032530784777E-2</c:v>
                </c:pt>
                <c:pt idx="15">
                  <c:v>1.0975891855579286E-2</c:v>
                </c:pt>
                <c:pt idx="16">
                  <c:v>0</c:v>
                </c:pt>
                <c:pt idx="17">
                  <c:v>3.4718833378752638E-2</c:v>
                </c:pt>
                <c:pt idx="18">
                  <c:v>2.9207517634309108E-2</c:v>
                </c:pt>
                <c:pt idx="19">
                  <c:v>0.23487537154047494</c:v>
                </c:pt>
              </c:numCache>
            </c:numRef>
          </c:val>
          <c:extLst>
            <c:ext xmlns:c16="http://schemas.microsoft.com/office/drawing/2014/chart" uri="{C3380CC4-5D6E-409C-BE32-E72D297353CC}">
              <c16:uniqueId val="{00000000-2A81-434D-B88D-9F71A0463A89}"/>
            </c:ext>
          </c:extLst>
        </c:ser>
        <c:dLbls>
          <c:showLegendKey val="0"/>
          <c:showVal val="0"/>
          <c:showCatName val="0"/>
          <c:showSerName val="0"/>
          <c:showPercent val="0"/>
          <c:showBubbleSize val="0"/>
        </c:dLbls>
        <c:gapWidth val="219"/>
        <c:overlap val="-27"/>
        <c:axId val="386874008"/>
        <c:axId val="386870728"/>
      </c:barChart>
      <c:catAx>
        <c:axId val="386874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6870728"/>
        <c:crosses val="autoZero"/>
        <c:auto val="1"/>
        <c:lblAlgn val="ctr"/>
        <c:lblOffset val="100"/>
        <c:noMultiLvlLbl val="0"/>
      </c:catAx>
      <c:valAx>
        <c:axId val="386870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687400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Annual RfR Sources</a:t>
            </a:r>
            <a:r>
              <a:rPr lang="en-US" baseline="0"/>
              <a:t> and Uses </a:t>
            </a:r>
            <a:r>
              <a:rPr lang="en-US"/>
              <a:t>Per Unit Analysis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985892388451443"/>
          <c:y val="0.19721055701370663"/>
          <c:w val="0.84569663167104114"/>
          <c:h val="0.77736111111111106"/>
        </c:manualLayout>
      </c:layout>
      <c:lineChart>
        <c:grouping val="standard"/>
        <c:varyColors val="0"/>
        <c:ser>
          <c:idx val="0"/>
          <c:order val="0"/>
          <c:tx>
            <c:strRef>
              <c:f>'Trial Dep. Projections Sumry'!$C$67</c:f>
              <c:strCache>
                <c:ptCount val="1"/>
                <c:pt idx="0">
                  <c:v>Annual Escalated Deposit per Unit</c:v>
                </c:pt>
              </c:strCache>
            </c:strRef>
          </c:tx>
          <c:spPr>
            <a:ln w="28575" cap="rnd">
              <a:solidFill>
                <a:schemeClr val="accent1"/>
              </a:solidFill>
              <a:round/>
            </a:ln>
            <a:effectLst/>
          </c:spPr>
          <c:marker>
            <c:symbol val="none"/>
          </c:marker>
          <c:dLbls>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DFE-43DD-9FD3-A2F3EB9C36A9}"/>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DFE-43DD-9FD3-A2F3EB9C36A9}"/>
                </c:ext>
              </c:extLst>
            </c:dLbl>
            <c:dLbl>
              <c:idx val="1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DFE-43DD-9FD3-A2F3EB9C36A9}"/>
                </c:ext>
              </c:extLst>
            </c:dLbl>
            <c:dLbl>
              <c:idx val="1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DFE-43DD-9FD3-A2F3EB9C36A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'Trial Dep. Projections Sumry'!$I$67:$AB$67</c:f>
              <c:numCache>
                <c:formatCode>"$"#,##0</c:formatCode>
                <c:ptCount val="20"/>
                <c:pt idx="0">
                  <c:v>330</c:v>
                </c:pt>
                <c:pt idx="1">
                  <c:v>336.6</c:v>
                </c:pt>
                <c:pt idx="2">
                  <c:v>343.33199999999999</c:v>
                </c:pt>
                <c:pt idx="3">
                  <c:v>350.19863999999995</c:v>
                </c:pt>
                <c:pt idx="4">
                  <c:v>357.2026128</c:v>
                </c:pt>
                <c:pt idx="5">
                  <c:v>364.34666505600001</c:v>
                </c:pt>
                <c:pt idx="6">
                  <c:v>371.63359835711998</c:v>
                </c:pt>
                <c:pt idx="7">
                  <c:v>379.0662703242624</c:v>
                </c:pt>
                <c:pt idx="8">
                  <c:v>386.6475957307477</c:v>
                </c:pt>
                <c:pt idx="9">
                  <c:v>394.38054764536264</c:v>
                </c:pt>
                <c:pt idx="10">
                  <c:v>402.26815859826991</c:v>
                </c:pt>
                <c:pt idx="11">
                  <c:v>410.31352177023535</c:v>
                </c:pt>
                <c:pt idx="12">
                  <c:v>418.51979220564004</c:v>
                </c:pt>
                <c:pt idx="13">
                  <c:v>426.89018804975274</c:v>
                </c:pt>
                <c:pt idx="14">
                  <c:v>435.42799181074787</c:v>
                </c:pt>
                <c:pt idx="15">
                  <c:v>444.13655164696286</c:v>
                </c:pt>
                <c:pt idx="16">
                  <c:v>453.01928267990212</c:v>
                </c:pt>
                <c:pt idx="17">
                  <c:v>462.07966833350019</c:v>
                </c:pt>
                <c:pt idx="18">
                  <c:v>471.32126170017023</c:v>
                </c:pt>
                <c:pt idx="19">
                  <c:v>480.7476869341736</c:v>
                </c:pt>
              </c:numCache>
            </c:numRef>
          </c:val>
          <c:smooth val="0"/>
          <c:extLst>
            <c:ext xmlns:c16="http://schemas.microsoft.com/office/drawing/2014/chart" uri="{C3380CC4-5D6E-409C-BE32-E72D297353CC}">
              <c16:uniqueId val="{00000004-8DFE-43DD-9FD3-A2F3EB9C36A9}"/>
            </c:ext>
          </c:extLst>
        </c:ser>
        <c:ser>
          <c:idx val="1"/>
          <c:order val="1"/>
          <c:tx>
            <c:strRef>
              <c:f>'Trial Dep. Projections Sumry'!$C$69</c:f>
              <c:strCache>
                <c:ptCount val="1"/>
                <c:pt idx="0">
                  <c:v>Annual Inflated Needs per Unit</c:v>
                </c:pt>
              </c:strCache>
            </c:strRef>
          </c:tx>
          <c:spPr>
            <a:ln w="28575" cap="rnd">
              <a:solidFill>
                <a:schemeClr val="accent2"/>
              </a:solidFill>
              <a:round/>
            </a:ln>
            <a:effectLst/>
          </c:spPr>
          <c:marker>
            <c:symbol val="none"/>
          </c:marker>
          <c:val>
            <c:numRef>
              <c:f>'Trial Dep. Projections Sumry'!$I$69:$AB$69</c:f>
              <c:numCache>
                <c:formatCode>"$"#,##0</c:formatCode>
                <c:ptCount val="20"/>
                <c:pt idx="0">
                  <c:v>0</c:v>
                </c:pt>
                <c:pt idx="1">
                  <c:v>233.03333333333333</c:v>
                </c:pt>
                <c:pt idx="2">
                  <c:v>1281.6333333333334</c:v>
                </c:pt>
                <c:pt idx="3">
                  <c:v>814.0333333333333</c:v>
                </c:pt>
                <c:pt idx="4">
                  <c:v>859.35</c:v>
                </c:pt>
                <c:pt idx="5">
                  <c:v>814.0333333333333</c:v>
                </c:pt>
                <c:pt idx="6">
                  <c:v>339.43333333333334</c:v>
                </c:pt>
                <c:pt idx="7">
                  <c:v>737.11666666666667</c:v>
                </c:pt>
                <c:pt idx="8">
                  <c:v>504.08333333333331</c:v>
                </c:pt>
                <c:pt idx="9">
                  <c:v>504.08333333333331</c:v>
                </c:pt>
                <c:pt idx="10">
                  <c:v>2228.2166666666667</c:v>
                </c:pt>
                <c:pt idx="11">
                  <c:v>2144.6</c:v>
                </c:pt>
                <c:pt idx="12">
                  <c:v>931.7833333333333</c:v>
                </c:pt>
                <c:pt idx="13">
                  <c:v>1162.7</c:v>
                </c:pt>
                <c:pt idx="14">
                  <c:v>1967.1666666666667</c:v>
                </c:pt>
                <c:pt idx="15">
                  <c:v>230.91666666666666</c:v>
                </c:pt>
                <c:pt idx="16">
                  <c:v>0</c:v>
                </c:pt>
                <c:pt idx="17">
                  <c:v>730.43333333333328</c:v>
                </c:pt>
                <c:pt idx="18">
                  <c:v>614.48333333333335</c:v>
                </c:pt>
                <c:pt idx="19">
                  <c:v>4941.4333333333334</c:v>
                </c:pt>
              </c:numCache>
            </c:numRef>
          </c:val>
          <c:smooth val="0"/>
          <c:extLst>
            <c:ext xmlns:c16="http://schemas.microsoft.com/office/drawing/2014/chart" uri="{C3380CC4-5D6E-409C-BE32-E72D297353CC}">
              <c16:uniqueId val="{00000006-8DFE-43DD-9FD3-A2F3EB9C36A9}"/>
            </c:ext>
          </c:extLst>
        </c:ser>
        <c:ser>
          <c:idx val="2"/>
          <c:order val="2"/>
          <c:tx>
            <c:strRef>
              <c:f>'Trial Dep. Projections Sumry'!$C$70</c:f>
              <c:strCache>
                <c:ptCount val="1"/>
                <c:pt idx="0">
                  <c:v>Annual Minimum Balance per Unit</c:v>
                </c:pt>
              </c:strCache>
            </c:strRef>
          </c:tx>
          <c:spPr>
            <a:ln w="28575" cap="rnd">
              <a:solidFill>
                <a:schemeClr val="accent3"/>
              </a:solidFill>
              <a:round/>
            </a:ln>
            <a:effectLst/>
          </c:spPr>
          <c:marker>
            <c:symbol val="none"/>
          </c:marker>
          <c:val>
            <c:numRef>
              <c:f>'Trial Dep. Projections Sumry'!$I$70:$AB$70</c:f>
              <c:numCache>
                <c:formatCode>"$"#,##0</c:formatCode>
                <c:ptCount val="20"/>
                <c:pt idx="0">
                  <c:v>835.85</c:v>
                </c:pt>
                <c:pt idx="1">
                  <c:v>852.56700000000012</c:v>
                </c:pt>
                <c:pt idx="2">
                  <c:v>869.6183400000001</c:v>
                </c:pt>
                <c:pt idx="3">
                  <c:v>887.01070679999998</c:v>
                </c:pt>
                <c:pt idx="4">
                  <c:v>904.75092093599994</c:v>
                </c:pt>
                <c:pt idx="5">
                  <c:v>922.84593935472003</c:v>
                </c:pt>
                <c:pt idx="6">
                  <c:v>941.30285814181445</c:v>
                </c:pt>
                <c:pt idx="7">
                  <c:v>960.12891530465072</c:v>
                </c:pt>
                <c:pt idx="8">
                  <c:v>979.33149361074379</c:v>
                </c:pt>
                <c:pt idx="9">
                  <c:v>998.91812348295878</c:v>
                </c:pt>
                <c:pt idx="10">
                  <c:v>1018.8964859526179</c:v>
                </c:pt>
                <c:pt idx="11">
                  <c:v>1039.2744156716701</c:v>
                </c:pt>
                <c:pt idx="12">
                  <c:v>1060.0599039851036</c:v>
                </c:pt>
                <c:pt idx="13">
                  <c:v>1081.2611020648058</c:v>
                </c:pt>
                <c:pt idx="14">
                  <c:v>1102.8863241061017</c:v>
                </c:pt>
                <c:pt idx="15">
                  <c:v>1124.9440505882239</c:v>
                </c:pt>
                <c:pt idx="16">
                  <c:v>1147.4429315999885</c:v>
                </c:pt>
                <c:pt idx="17">
                  <c:v>1170.3917902319884</c:v>
                </c:pt>
                <c:pt idx="18">
                  <c:v>1193.7996260366281</c:v>
                </c:pt>
                <c:pt idx="19">
                  <c:v>1217.6756185573606</c:v>
                </c:pt>
              </c:numCache>
            </c:numRef>
          </c:val>
          <c:smooth val="0"/>
          <c:extLst>
            <c:ext xmlns:c16="http://schemas.microsoft.com/office/drawing/2014/chart" uri="{C3380CC4-5D6E-409C-BE32-E72D297353CC}">
              <c16:uniqueId val="{00000007-8DFE-43DD-9FD3-A2F3EB9C36A9}"/>
            </c:ext>
          </c:extLst>
        </c:ser>
        <c:ser>
          <c:idx val="3"/>
          <c:order val="3"/>
          <c:tx>
            <c:strRef>
              <c:f>'Trial Dep. Projections Sumry'!$C$68</c:f>
              <c:strCache>
                <c:ptCount val="1"/>
                <c:pt idx="0">
                  <c:v>Annual Transfers from Init. Dep. + Int. Inc.  per Unit</c:v>
                </c:pt>
              </c:strCache>
            </c:strRef>
          </c:tx>
          <c:spPr>
            <a:ln w="28575" cap="rnd">
              <a:solidFill>
                <a:schemeClr val="accent4"/>
              </a:solidFill>
              <a:round/>
            </a:ln>
            <a:effectLst/>
          </c:spPr>
          <c:marker>
            <c:symbol val="none"/>
          </c:marker>
          <c:val>
            <c:numRef>
              <c:f>'Trial Dep. Projections Sumry'!$I$68:$AB$68</c:f>
              <c:numCache>
                <c:formatCode>"$"#,##0</c:formatCode>
                <c:ptCount val="20"/>
                <c:pt idx="0">
                  <c:v>0</c:v>
                </c:pt>
                <c:pt idx="1">
                  <c:v>0</c:v>
                </c:pt>
                <c:pt idx="2">
                  <c:v>938.30133333333333</c:v>
                </c:pt>
                <c:pt idx="3">
                  <c:v>463.83469333333335</c:v>
                </c:pt>
                <c:pt idx="4">
                  <c:v>502.14738719999997</c:v>
                </c:pt>
                <c:pt idx="5">
                  <c:v>449.68666827733335</c:v>
                </c:pt>
                <c:pt idx="6">
                  <c:v>0</c:v>
                </c:pt>
                <c:pt idx="7">
                  <c:v>358.05039634240427</c:v>
                </c:pt>
                <c:pt idx="8">
                  <c:v>117.43573760258563</c:v>
                </c:pt>
                <c:pt idx="9">
                  <c:v>109.70278568797069</c:v>
                </c:pt>
                <c:pt idx="10">
                  <c:v>743.80214929736155</c:v>
                </c:pt>
                <c:pt idx="11">
                  <c:v>0</c:v>
                </c:pt>
                <c:pt idx="12">
                  <c:v>0</c:v>
                </c:pt>
                <c:pt idx="13">
                  <c:v>0</c:v>
                </c:pt>
                <c:pt idx="14">
                  <c:v>0</c:v>
                </c:pt>
                <c:pt idx="15">
                  <c:v>0</c:v>
                </c:pt>
                <c:pt idx="16">
                  <c:v>0</c:v>
                </c:pt>
                <c:pt idx="17">
                  <c:v>0</c:v>
                </c:pt>
                <c:pt idx="18">
                  <c:v>0</c:v>
                </c:pt>
                <c:pt idx="19">
                  <c:v>0</c:v>
                </c:pt>
              </c:numCache>
            </c:numRef>
          </c:val>
          <c:smooth val="0"/>
          <c:extLst>
            <c:ext xmlns:c16="http://schemas.microsoft.com/office/drawing/2014/chart" uri="{C3380CC4-5D6E-409C-BE32-E72D297353CC}">
              <c16:uniqueId val="{00000008-8DFE-43DD-9FD3-A2F3EB9C36A9}"/>
            </c:ext>
          </c:extLst>
        </c:ser>
        <c:ser>
          <c:idx val="4"/>
          <c:order val="4"/>
          <c:tx>
            <c:strRef>
              <c:f>'Trial Dep. Projections Sumry'!$C$71</c:f>
              <c:strCache>
                <c:ptCount val="1"/>
                <c:pt idx="0">
                  <c:v>Annual RfR per Unit</c:v>
                </c:pt>
              </c:strCache>
            </c:strRef>
          </c:tx>
          <c:spPr>
            <a:ln w="28575" cap="rnd">
              <a:solidFill>
                <a:schemeClr val="accent5"/>
              </a:solidFill>
              <a:round/>
            </a:ln>
            <a:effectLst/>
          </c:spPr>
          <c:marker>
            <c:symbol val="none"/>
          </c:marker>
          <c:val>
            <c:numRef>
              <c:f>'Trial Dep. Projections Sumry'!$I$71:$AB$71</c:f>
              <c:numCache>
                <c:formatCode>"$"#,##0</c:formatCode>
                <c:ptCount val="20"/>
                <c:pt idx="0">
                  <c:v>3696.6666666666665</c:v>
                </c:pt>
                <c:pt idx="1">
                  <c:v>3837.2</c:v>
                </c:pt>
                <c:pt idx="2">
                  <c:v>2956.4566666666669</c:v>
                </c:pt>
                <c:pt idx="3">
                  <c:v>2536.9688233333336</c:v>
                </c:pt>
                <c:pt idx="4">
                  <c:v>2072.8759684833335</c:v>
                </c:pt>
                <c:pt idx="5">
                  <c:v>1654.2824397332502</c:v>
                </c:pt>
                <c:pt idx="6">
                  <c:v>1711.2969413530352</c:v>
                </c:pt>
                <c:pt idx="7">
                  <c:v>1378.9159991309266</c:v>
                </c:pt>
                <c:pt idx="8">
                  <c:v>1282.164001515305</c:v>
                </c:pt>
                <c:pt idx="9">
                  <c:v>1191.693675850064</c:v>
                </c:pt>
                <c:pt idx="10">
                  <c:v>-616.37942708058188</c:v>
                </c:pt>
                <c:pt idx="11">
                  <c:v>-2350.6659053103463</c:v>
                </c:pt>
                <c:pt idx="12">
                  <c:v>-2863.9294464380396</c:v>
                </c:pt>
                <c:pt idx="13">
                  <c:v>-3599.7392583882875</c:v>
                </c:pt>
                <c:pt idx="14">
                  <c:v>-5131.4779332442067</c:v>
                </c:pt>
                <c:pt idx="15">
                  <c:v>-4918.2580482639105</c:v>
                </c:pt>
                <c:pt idx="16">
                  <c:v>-4465.2387655840084</c:v>
                </c:pt>
                <c:pt idx="17">
                  <c:v>-4733.5924305838416</c:v>
                </c:pt>
                <c:pt idx="18">
                  <c:v>-4876.7545022170052</c:v>
                </c:pt>
                <c:pt idx="19">
                  <c:v>-9337.4401486161642</c:v>
                </c:pt>
              </c:numCache>
            </c:numRef>
          </c:val>
          <c:smooth val="0"/>
          <c:extLst>
            <c:ext xmlns:c16="http://schemas.microsoft.com/office/drawing/2014/chart" uri="{C3380CC4-5D6E-409C-BE32-E72D297353CC}">
              <c16:uniqueId val="{00000000-EAD9-4C43-BAE6-E0759F7ECB6F}"/>
            </c:ext>
          </c:extLst>
        </c:ser>
        <c:dLbls>
          <c:showLegendKey val="0"/>
          <c:showVal val="0"/>
          <c:showCatName val="0"/>
          <c:showSerName val="0"/>
          <c:showPercent val="0"/>
          <c:showBubbleSize val="0"/>
        </c:dLbls>
        <c:smooth val="0"/>
        <c:axId val="386874008"/>
        <c:axId val="386870728"/>
      </c:lineChart>
      <c:catAx>
        <c:axId val="386874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6870728"/>
        <c:crosses val="autoZero"/>
        <c:auto val="1"/>
        <c:lblAlgn val="ctr"/>
        <c:lblOffset val="100"/>
        <c:noMultiLvlLbl val="0"/>
      </c:catAx>
      <c:valAx>
        <c:axId val="38687072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687400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'Trial Dep. Projections Sumry'!$C$58</c:f>
              <c:strCache>
                <c:ptCount val="1"/>
                <c:pt idx="0">
                  <c:v>Ratio of Cumulative Total Flows into the RfR vs. Cumulative Inflated Needs</c:v>
                </c:pt>
              </c:strCache>
            </c:strRef>
          </c:tx>
          <c:spPr>
            <a:ln w="28575" cap="rnd">
              <a:solidFill>
                <a:schemeClr val="accent1"/>
              </a:solidFill>
              <a:round/>
            </a:ln>
            <a:effectLst/>
          </c:spPr>
          <c:marker>
            <c:symbol val="none"/>
          </c:marker>
          <c:val>
            <c:numRef>
              <c:f>'Trial Dep. Projections Sumry'!$I$58:$AB$58</c:f>
              <c:numCache>
                <c:formatCode>0.00%</c:formatCode>
                <c:ptCount val="20"/>
                <c:pt idx="0">
                  <c:v>0</c:v>
                </c:pt>
                <c:pt idx="1">
                  <c:v>16.466313832069805</c:v>
                </c:pt>
                <c:pt idx="2">
                  <c:v>1.951886003521127</c:v>
                </c:pt>
                <c:pt idx="3">
                  <c:v>1.0894356608121845</c:v>
                </c:pt>
                <c:pt idx="4">
                  <c:v>0.65020183763847306</c:v>
                </c:pt>
                <c:pt idx="5">
                  <c:v>0.41335532070377923</c:v>
                </c:pt>
                <c:pt idx="6">
                  <c:v>0.3941703033163606</c:v>
                </c:pt>
                <c:pt idx="7">
                  <c:v>0.27151320219959318</c:v>
                </c:pt>
                <c:pt idx="8">
                  <c:v>0.22966667987484679</c:v>
                </c:pt>
                <c:pt idx="9">
                  <c:v>0.19578328117402632</c:v>
                </c:pt>
                <c:pt idx="10">
                  <c:v>-7.4128465617096184E-2</c:v>
                </c:pt>
                <c:pt idx="11">
                  <c:v>-0.22473729011519028</c:v>
                </c:pt>
                <c:pt idx="12">
                  <c:v>-0.25141154260565346</c:v>
                </c:pt>
                <c:pt idx="13">
                  <c:v>-0.28673813800975678</c:v>
                </c:pt>
                <c:pt idx="14">
                  <c:v>-0.35337674398772889</c:v>
                </c:pt>
                <c:pt idx="15">
                  <c:v>-0.33339187407946924</c:v>
                </c:pt>
                <c:pt idx="16">
                  <c:v>-0.30268324794300572</c:v>
                </c:pt>
                <c:pt idx="17">
                  <c:v>-0.30573594454321418</c:v>
                </c:pt>
                <c:pt idx="18">
                  <c:v>-0.30295857652726299</c:v>
                </c:pt>
                <c:pt idx="19">
                  <c:v>-0.44382562228432421</c:v>
                </c:pt>
              </c:numCache>
            </c:numRef>
          </c:val>
          <c:smooth val="0"/>
          <c:extLst>
            <c:ext xmlns:c16="http://schemas.microsoft.com/office/drawing/2014/chart" uri="{C3380CC4-5D6E-409C-BE32-E72D297353CC}">
              <c16:uniqueId val="{00000000-5527-429F-A55C-9AC5347E5CE6}"/>
            </c:ext>
          </c:extLst>
        </c:ser>
        <c:dLbls>
          <c:showLegendKey val="0"/>
          <c:showVal val="0"/>
          <c:showCatName val="0"/>
          <c:showSerName val="0"/>
          <c:showPercent val="0"/>
          <c:showBubbleSize val="0"/>
        </c:dLbls>
        <c:smooth val="0"/>
        <c:axId val="294424536"/>
        <c:axId val="294419944"/>
      </c:lineChart>
      <c:catAx>
        <c:axId val="294424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4419944"/>
        <c:crosses val="autoZero"/>
        <c:auto val="1"/>
        <c:lblAlgn val="ctr"/>
        <c:lblOffset val="100"/>
        <c:noMultiLvlLbl val="0"/>
      </c:catAx>
      <c:valAx>
        <c:axId val="294419944"/>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44245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'Trial Dep. Projections Sumry'!$C$53</c:f>
              <c:strCache>
                <c:ptCount val="1"/>
                <c:pt idx="0">
                  <c:v>Cumulative Total Flows into RfR</c:v>
                </c:pt>
              </c:strCache>
            </c:strRef>
          </c:tx>
          <c:spPr>
            <a:ln w="28575" cap="rnd">
              <a:solidFill>
                <a:schemeClr val="accent1"/>
              </a:solidFill>
              <a:round/>
            </a:ln>
            <a:effectLst/>
          </c:spPr>
          <c:marker>
            <c:symbol val="none"/>
          </c:marker>
          <c:val>
            <c:numRef>
              <c:f>'Trial Dep. Projections Sumry'!$I$53:$AB$53</c:f>
              <c:numCache>
                <c:formatCode>"$"#,##0_);[Red]\("$"#,##0\)</c:formatCode>
                <c:ptCount val="20"/>
                <c:pt idx="0">
                  <c:v>221800</c:v>
                </c:pt>
                <c:pt idx="1">
                  <c:v>244214</c:v>
                </c:pt>
                <c:pt idx="2">
                  <c:v>268267.40000000002</c:v>
                </c:pt>
                <c:pt idx="3">
                  <c:v>291940.12940000003</c:v>
                </c:pt>
                <c:pt idx="4">
                  <c:v>315655.55810900003</c:v>
                </c:pt>
                <c:pt idx="5">
                  <c:v>339381.946383995</c:v>
                </c:pt>
                <c:pt idx="6">
                  <c:v>363168.81648118212</c:v>
                </c:pt>
                <c:pt idx="7">
                  <c:v>387452.95994785562</c:v>
                </c:pt>
                <c:pt idx="8">
                  <c:v>411892.8400909183</c:v>
                </c:pt>
                <c:pt idx="9">
                  <c:v>436709.62055100384</c:v>
                </c:pt>
                <c:pt idx="10">
                  <c:v>461918.23437516508</c:v>
                </c:pt>
                <c:pt idx="11">
                  <c:v>486537.04568137921</c:v>
                </c:pt>
                <c:pt idx="12">
                  <c:v>511648.23321371758</c:v>
                </c:pt>
                <c:pt idx="13">
                  <c:v>537261.64449670271</c:v>
                </c:pt>
                <c:pt idx="14">
                  <c:v>563387.32400534756</c:v>
                </c:pt>
                <c:pt idx="15">
                  <c:v>590035.51710416528</c:v>
                </c:pt>
                <c:pt idx="16">
                  <c:v>617216.6740649594</c:v>
                </c:pt>
                <c:pt idx="17">
                  <c:v>644941.45416496939</c:v>
                </c:pt>
                <c:pt idx="18">
                  <c:v>673220.72986697964</c:v>
                </c:pt>
                <c:pt idx="19">
                  <c:v>702065.5910830301</c:v>
                </c:pt>
              </c:numCache>
            </c:numRef>
          </c:val>
          <c:smooth val="0"/>
          <c:extLst>
            <c:ext xmlns:c16="http://schemas.microsoft.com/office/drawing/2014/chart" uri="{C3380CC4-5D6E-409C-BE32-E72D297353CC}">
              <c16:uniqueId val="{00000000-A5BF-4C04-8F35-8CE9DCE836A0}"/>
            </c:ext>
          </c:extLst>
        </c:ser>
        <c:ser>
          <c:idx val="1"/>
          <c:order val="1"/>
          <c:tx>
            <c:strRef>
              <c:f>'Trial Dep. Projections Sumry'!$C$54</c:f>
              <c:strCache>
                <c:ptCount val="1"/>
                <c:pt idx="0">
                  <c:v>Cumulative Inflated Needs</c:v>
                </c:pt>
              </c:strCache>
            </c:strRef>
          </c:tx>
          <c:spPr>
            <a:ln w="28575" cap="rnd">
              <a:solidFill>
                <a:schemeClr val="accent2"/>
              </a:solidFill>
              <a:round/>
            </a:ln>
            <a:effectLst/>
          </c:spPr>
          <c:marker>
            <c:symbol val="none"/>
          </c:marker>
          <c:val>
            <c:numRef>
              <c:f>'Trial Dep. Projections Sumry'!$I$54:$AB$54</c:f>
              <c:numCache>
                <c:formatCode>"$"#,##0_);[Red]\("$"#,##0\)</c:formatCode>
                <c:ptCount val="20"/>
                <c:pt idx="0">
                  <c:v>0</c:v>
                </c:pt>
                <c:pt idx="1">
                  <c:v>-13982</c:v>
                </c:pt>
                <c:pt idx="2">
                  <c:v>-90880</c:v>
                </c:pt>
                <c:pt idx="3">
                  <c:v>-139722</c:v>
                </c:pt>
                <c:pt idx="4">
                  <c:v>-191283</c:v>
                </c:pt>
                <c:pt idx="5">
                  <c:v>-240125</c:v>
                </c:pt>
                <c:pt idx="6">
                  <c:v>-260491</c:v>
                </c:pt>
                <c:pt idx="7">
                  <c:v>-304718</c:v>
                </c:pt>
                <c:pt idx="8">
                  <c:v>-334963</c:v>
                </c:pt>
                <c:pt idx="9">
                  <c:v>-365208</c:v>
                </c:pt>
                <c:pt idx="10">
                  <c:v>-498901</c:v>
                </c:pt>
                <c:pt idx="11">
                  <c:v>-627577</c:v>
                </c:pt>
                <c:pt idx="12">
                  <c:v>-683484</c:v>
                </c:pt>
                <c:pt idx="13">
                  <c:v>-753246</c:v>
                </c:pt>
                <c:pt idx="14">
                  <c:v>-871276</c:v>
                </c:pt>
                <c:pt idx="15">
                  <c:v>-885131</c:v>
                </c:pt>
                <c:pt idx="16">
                  <c:v>-885131</c:v>
                </c:pt>
                <c:pt idx="17">
                  <c:v>-928957</c:v>
                </c:pt>
                <c:pt idx="18">
                  <c:v>-965826</c:v>
                </c:pt>
                <c:pt idx="19">
                  <c:v>-1262312</c:v>
                </c:pt>
              </c:numCache>
            </c:numRef>
          </c:val>
          <c:smooth val="0"/>
          <c:extLst>
            <c:ext xmlns:c16="http://schemas.microsoft.com/office/drawing/2014/chart" uri="{C3380CC4-5D6E-409C-BE32-E72D297353CC}">
              <c16:uniqueId val="{00000001-A5BF-4C04-8F35-8CE9DCE836A0}"/>
            </c:ext>
          </c:extLst>
        </c:ser>
        <c:dLbls>
          <c:showLegendKey val="0"/>
          <c:showVal val="0"/>
          <c:showCatName val="0"/>
          <c:showSerName val="0"/>
          <c:showPercent val="0"/>
          <c:showBubbleSize val="0"/>
        </c:dLbls>
        <c:smooth val="0"/>
        <c:axId val="576725824"/>
        <c:axId val="576727136"/>
      </c:lineChart>
      <c:catAx>
        <c:axId val="576725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6727136"/>
        <c:crosses val="autoZero"/>
        <c:auto val="1"/>
        <c:lblAlgn val="ctr"/>
        <c:lblOffset val="100"/>
        <c:noMultiLvlLbl val="0"/>
      </c:catAx>
      <c:valAx>
        <c:axId val="57672713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67258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131714785651793"/>
          <c:y val="0.25108225108225107"/>
          <c:w val="0.81812729658792649"/>
          <c:h val="0.70129870129870131"/>
        </c:manualLayout>
      </c:layout>
      <c:barChart>
        <c:barDir val="col"/>
        <c:grouping val="clustered"/>
        <c:varyColors val="0"/>
        <c:ser>
          <c:idx val="0"/>
          <c:order val="0"/>
          <c:tx>
            <c:strRef>
              <c:f>'Trial Dep. Projections Sumry'!$C$55</c:f>
              <c:strCache>
                <c:ptCount val="1"/>
                <c:pt idx="0">
                  <c:v>Cumulative Funding Surplus (Shortfall)</c:v>
                </c:pt>
              </c:strCache>
            </c:strRef>
          </c:tx>
          <c:spPr>
            <a:solidFill>
              <a:schemeClr val="accent1"/>
            </a:solidFill>
            <a:ln>
              <a:noFill/>
            </a:ln>
            <a:effectLst/>
          </c:spPr>
          <c:invertIfNegative val="0"/>
          <c:val>
            <c:numRef>
              <c:f>'Trial Dep. Projections Sumry'!$I$55:$AB$55</c:f>
              <c:numCache>
                <c:formatCode>"$"#,##0_);[Red]\("$"#,##0\)</c:formatCode>
                <c:ptCount val="20"/>
                <c:pt idx="0">
                  <c:v>221800</c:v>
                </c:pt>
                <c:pt idx="1">
                  <c:v>230232</c:v>
                </c:pt>
                <c:pt idx="2">
                  <c:v>177387.40000000002</c:v>
                </c:pt>
                <c:pt idx="3">
                  <c:v>152218.12940000003</c:v>
                </c:pt>
                <c:pt idx="4">
                  <c:v>124372.55810900003</c:v>
                </c:pt>
                <c:pt idx="5">
                  <c:v>99256.946383995004</c:v>
                </c:pt>
                <c:pt idx="6">
                  <c:v>102677.81648118212</c:v>
                </c:pt>
                <c:pt idx="7">
                  <c:v>82734.959947855619</c:v>
                </c:pt>
                <c:pt idx="8">
                  <c:v>76929.840090918296</c:v>
                </c:pt>
                <c:pt idx="9">
                  <c:v>71501.620551003842</c:v>
                </c:pt>
                <c:pt idx="10">
                  <c:v>-36982.765624834923</c:v>
                </c:pt>
                <c:pt idx="11">
                  <c:v>-141039.95431862079</c:v>
                </c:pt>
                <c:pt idx="12">
                  <c:v>-171835.76678628242</c:v>
                </c:pt>
                <c:pt idx="13">
                  <c:v>-215984.35550329729</c:v>
                </c:pt>
                <c:pt idx="14">
                  <c:v>-307888.67599465244</c:v>
                </c:pt>
                <c:pt idx="15">
                  <c:v>-295095.48289583472</c:v>
                </c:pt>
                <c:pt idx="16">
                  <c:v>-267914.3259350406</c:v>
                </c:pt>
                <c:pt idx="17">
                  <c:v>-284015.54583503061</c:v>
                </c:pt>
                <c:pt idx="18">
                  <c:v>-292605.27013302036</c:v>
                </c:pt>
                <c:pt idx="19">
                  <c:v>-560246.4089169699</c:v>
                </c:pt>
              </c:numCache>
            </c:numRef>
          </c:val>
          <c:extLst>
            <c:ext xmlns:c16="http://schemas.microsoft.com/office/drawing/2014/chart" uri="{C3380CC4-5D6E-409C-BE32-E72D297353CC}">
              <c16:uniqueId val="{00000000-01E9-46C7-97F0-CC94122CA856}"/>
            </c:ext>
          </c:extLst>
        </c:ser>
        <c:dLbls>
          <c:showLegendKey val="0"/>
          <c:showVal val="0"/>
          <c:showCatName val="0"/>
          <c:showSerName val="0"/>
          <c:showPercent val="0"/>
          <c:showBubbleSize val="0"/>
        </c:dLbls>
        <c:gapWidth val="219"/>
        <c:overlap val="-27"/>
        <c:axId val="571481728"/>
        <c:axId val="571479104"/>
      </c:barChart>
      <c:lineChart>
        <c:grouping val="standard"/>
        <c:varyColors val="0"/>
        <c:ser>
          <c:idx val="1"/>
          <c:order val="1"/>
          <c:tx>
            <c:strRef>
              <c:f>'Trial Dep. Projections Sumry'!$C$56</c:f>
              <c:strCache>
                <c:ptCount val="1"/>
                <c:pt idx="0">
                  <c:v>Change in Cumulative Funding Surplus (Shortfall)</c:v>
                </c:pt>
              </c:strCache>
            </c:strRef>
          </c:tx>
          <c:spPr>
            <a:ln w="28575" cap="rnd">
              <a:solidFill>
                <a:schemeClr val="accent2"/>
              </a:solidFill>
              <a:round/>
            </a:ln>
            <a:effectLst/>
          </c:spPr>
          <c:marker>
            <c:symbol val="none"/>
          </c:marker>
          <c:val>
            <c:numRef>
              <c:f>'Trial Dep. Projections Sumry'!$I$56:$AB$56</c:f>
              <c:numCache>
                <c:formatCode>"$"#,##0_);[Red]\("$"#,##0\)</c:formatCode>
                <c:ptCount val="20"/>
                <c:pt idx="1">
                  <c:v>8432</c:v>
                </c:pt>
                <c:pt idx="2">
                  <c:v>-52844.599999999977</c:v>
                </c:pt>
                <c:pt idx="3">
                  <c:v>-25169.270599999989</c:v>
                </c:pt>
                <c:pt idx="4">
                  <c:v>-27845.571291</c:v>
                </c:pt>
                <c:pt idx="5">
                  <c:v>-25115.61172500503</c:v>
                </c:pt>
                <c:pt idx="6">
                  <c:v>3420.8700971871149</c:v>
                </c:pt>
                <c:pt idx="7">
                  <c:v>-19942.8565333265</c:v>
                </c:pt>
                <c:pt idx="8">
                  <c:v>-5805.1198569373228</c:v>
                </c:pt>
                <c:pt idx="9">
                  <c:v>-5428.2195399144548</c:v>
                </c:pt>
                <c:pt idx="10">
                  <c:v>-108484.38617583876</c:v>
                </c:pt>
                <c:pt idx="11">
                  <c:v>-104057.18869378587</c:v>
                </c:pt>
                <c:pt idx="12">
                  <c:v>-30795.812467661628</c:v>
                </c:pt>
                <c:pt idx="13">
                  <c:v>-44148.588717014878</c:v>
                </c:pt>
                <c:pt idx="14">
                  <c:v>-91904.320491355145</c:v>
                </c:pt>
                <c:pt idx="15">
                  <c:v>12793.193098817719</c:v>
                </c:pt>
                <c:pt idx="16">
                  <c:v>27181.15696079412</c:v>
                </c:pt>
                <c:pt idx="17">
                  <c:v>-16101.219899990014</c:v>
                </c:pt>
                <c:pt idx="18">
                  <c:v>-8589.7242979897419</c:v>
                </c:pt>
                <c:pt idx="19">
                  <c:v>-267641.13878394954</c:v>
                </c:pt>
              </c:numCache>
            </c:numRef>
          </c:val>
          <c:smooth val="0"/>
          <c:extLst>
            <c:ext xmlns:c16="http://schemas.microsoft.com/office/drawing/2014/chart" uri="{C3380CC4-5D6E-409C-BE32-E72D297353CC}">
              <c16:uniqueId val="{00000001-01E9-46C7-97F0-CC94122CA856}"/>
            </c:ext>
          </c:extLst>
        </c:ser>
        <c:dLbls>
          <c:showLegendKey val="0"/>
          <c:showVal val="0"/>
          <c:showCatName val="0"/>
          <c:showSerName val="0"/>
          <c:showPercent val="0"/>
          <c:showBubbleSize val="0"/>
        </c:dLbls>
        <c:marker val="1"/>
        <c:smooth val="0"/>
        <c:axId val="571481728"/>
        <c:axId val="571479104"/>
      </c:lineChart>
      <c:catAx>
        <c:axId val="571481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1479104"/>
        <c:crosses val="autoZero"/>
        <c:auto val="1"/>
        <c:lblAlgn val="ctr"/>
        <c:lblOffset val="100"/>
        <c:noMultiLvlLbl val="0"/>
      </c:catAx>
      <c:valAx>
        <c:axId val="5714791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14817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200"/>
              <a:t>eTool Data</a:t>
            </a:r>
            <a:r>
              <a:rPr lang="en-US" sz="1200" baseline="0"/>
              <a:t> Results: </a:t>
            </a:r>
          </a:p>
          <a:p>
            <a:pPr>
              <a:defRPr sz="1800"/>
            </a:pPr>
            <a:r>
              <a:rPr lang="en-US" sz="1200"/>
              <a:t>Annual Per Unit RfR Sources</a:t>
            </a:r>
            <a:r>
              <a:rPr lang="en-US" sz="1200" baseline="0"/>
              <a:t> and Uses </a:t>
            </a:r>
            <a:r>
              <a:rPr lang="en-US" sz="1200"/>
              <a:t>Analysis</a:t>
            </a:r>
          </a:p>
        </c:rich>
      </c:tx>
      <c:layout>
        <c:manualLayout>
          <c:xMode val="edge"/>
          <c:yMode val="edge"/>
          <c:x val="0.11760549162123965"/>
          <c:y val="4.3382313457188064E-2"/>
        </c:manualLayout>
      </c:layout>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089576019622233"/>
          <c:y val="0.29338541143166352"/>
          <c:w val="0.80514197690024258"/>
          <c:h val="0.58076935786561945"/>
        </c:manualLayout>
      </c:layout>
      <c:lineChart>
        <c:grouping val="standard"/>
        <c:varyColors val="0"/>
        <c:ser>
          <c:idx val="0"/>
          <c:order val="0"/>
          <c:tx>
            <c:strRef>
              <c:f>'eTool Data'!$E$13</c:f>
              <c:strCache>
                <c:ptCount val="1"/>
                <c:pt idx="0">
                  <c:v>RFRR Deposit / Unit / Year</c:v>
                </c:pt>
              </c:strCache>
            </c:strRef>
          </c:tx>
          <c:spPr>
            <a:ln w="28575" cap="rnd">
              <a:solidFill>
                <a:schemeClr val="accent1"/>
              </a:solidFill>
              <a:round/>
            </a:ln>
            <a:effectLst/>
          </c:spPr>
          <c:marker>
            <c:symbol val="none"/>
          </c:marker>
          <c:val>
            <c:numRef>
              <c:f>'eTool Data'!$F$13:$Y$13</c:f>
              <c:numCache>
                <c:formatCode>"$"#,##0_);[Red]\("$"#,##0\)</c:formatCode>
                <c:ptCount val="20"/>
                <c:pt idx="0">
                  <c:v>330</c:v>
                </c:pt>
                <c:pt idx="1">
                  <c:v>337</c:v>
                </c:pt>
                <c:pt idx="2">
                  <c:v>343</c:v>
                </c:pt>
                <c:pt idx="3">
                  <c:v>350</c:v>
                </c:pt>
                <c:pt idx="4">
                  <c:v>357</c:v>
                </c:pt>
                <c:pt idx="5">
                  <c:v>364</c:v>
                </c:pt>
                <c:pt idx="6">
                  <c:v>372</c:v>
                </c:pt>
                <c:pt idx="7">
                  <c:v>379</c:v>
                </c:pt>
                <c:pt idx="8">
                  <c:v>387</c:v>
                </c:pt>
                <c:pt idx="9">
                  <c:v>394</c:v>
                </c:pt>
                <c:pt idx="10">
                  <c:v>402</c:v>
                </c:pt>
                <c:pt idx="11">
                  <c:v>410</c:v>
                </c:pt>
                <c:pt idx="12">
                  <c:v>419</c:v>
                </c:pt>
                <c:pt idx="13">
                  <c:v>427</c:v>
                </c:pt>
                <c:pt idx="14">
                  <c:v>435</c:v>
                </c:pt>
                <c:pt idx="15">
                  <c:v>444</c:v>
                </c:pt>
                <c:pt idx="16">
                  <c:v>453</c:v>
                </c:pt>
                <c:pt idx="17">
                  <c:v>462</c:v>
                </c:pt>
                <c:pt idx="18">
                  <c:v>471</c:v>
                </c:pt>
                <c:pt idx="19">
                  <c:v>481</c:v>
                </c:pt>
              </c:numCache>
            </c:numRef>
          </c:val>
          <c:smooth val="0"/>
          <c:extLst>
            <c:ext xmlns:c16="http://schemas.microsoft.com/office/drawing/2014/chart" uri="{C3380CC4-5D6E-409C-BE32-E72D297353CC}">
              <c16:uniqueId val="{00000000-21F5-4E00-A56F-B605357D63A7}"/>
            </c:ext>
          </c:extLst>
        </c:ser>
        <c:ser>
          <c:idx val="1"/>
          <c:order val="1"/>
          <c:tx>
            <c:strRef>
              <c:f>'eTool Data'!$E$14</c:f>
              <c:strCache>
                <c:ptCount val="1"/>
                <c:pt idx="0">
                  <c:v>Inflated Needs / Unit / Year</c:v>
                </c:pt>
              </c:strCache>
            </c:strRef>
          </c:tx>
          <c:spPr>
            <a:ln w="28575" cap="rnd">
              <a:solidFill>
                <a:schemeClr val="accent2"/>
              </a:solidFill>
              <a:round/>
            </a:ln>
            <a:effectLst/>
          </c:spPr>
          <c:marker>
            <c:symbol val="none"/>
          </c:marker>
          <c:val>
            <c:numRef>
              <c:f>'eTool Data'!$F$14:$Y$14</c:f>
              <c:numCache>
                <c:formatCode>"$"#,##0_);[Red]\("$"#,##0\)</c:formatCode>
                <c:ptCount val="20"/>
                <c:pt idx="0">
                  <c:v>0</c:v>
                </c:pt>
                <c:pt idx="1">
                  <c:v>233</c:v>
                </c:pt>
                <c:pt idx="2">
                  <c:v>1282</c:v>
                </c:pt>
                <c:pt idx="3">
                  <c:v>814</c:v>
                </c:pt>
                <c:pt idx="4">
                  <c:v>859</c:v>
                </c:pt>
                <c:pt idx="5">
                  <c:v>814</c:v>
                </c:pt>
                <c:pt idx="6">
                  <c:v>339</c:v>
                </c:pt>
                <c:pt idx="7">
                  <c:v>737</c:v>
                </c:pt>
                <c:pt idx="8">
                  <c:v>504</c:v>
                </c:pt>
                <c:pt idx="9">
                  <c:v>504</c:v>
                </c:pt>
                <c:pt idx="10">
                  <c:v>2228</c:v>
                </c:pt>
                <c:pt idx="11">
                  <c:v>2145</c:v>
                </c:pt>
                <c:pt idx="12">
                  <c:v>932</c:v>
                </c:pt>
                <c:pt idx="13">
                  <c:v>1163</c:v>
                </c:pt>
                <c:pt idx="14">
                  <c:v>1967</c:v>
                </c:pt>
                <c:pt idx="15">
                  <c:v>231</c:v>
                </c:pt>
                <c:pt idx="16">
                  <c:v>0</c:v>
                </c:pt>
                <c:pt idx="17">
                  <c:v>730</c:v>
                </c:pt>
                <c:pt idx="18">
                  <c:v>614</c:v>
                </c:pt>
                <c:pt idx="19">
                  <c:v>4941</c:v>
                </c:pt>
              </c:numCache>
            </c:numRef>
          </c:val>
          <c:smooth val="0"/>
          <c:extLst>
            <c:ext xmlns:c16="http://schemas.microsoft.com/office/drawing/2014/chart" uri="{C3380CC4-5D6E-409C-BE32-E72D297353CC}">
              <c16:uniqueId val="{00000001-21F5-4E00-A56F-B605357D63A7}"/>
            </c:ext>
          </c:extLst>
        </c:ser>
        <c:ser>
          <c:idx val="2"/>
          <c:order val="2"/>
          <c:tx>
            <c:strRef>
              <c:f>'eTool Data Engine'!$E$16</c:f>
              <c:strCache>
                <c:ptCount val="1"/>
                <c:pt idx="0">
                  <c:v>Required Min. Bal. / Unit / Year</c:v>
                </c:pt>
              </c:strCache>
            </c:strRef>
          </c:tx>
          <c:spPr>
            <a:ln w="28575" cap="rnd">
              <a:solidFill>
                <a:schemeClr val="accent3"/>
              </a:solidFill>
              <a:round/>
            </a:ln>
            <a:effectLst/>
          </c:spPr>
          <c:marker>
            <c:symbol val="none"/>
          </c:marker>
          <c:val>
            <c:numRef>
              <c:f>'eTool Data Engine'!$F$16:$Y$16</c:f>
              <c:numCache>
                <c:formatCode>"$"#,##0_);[Red]\("$"#,##0\)</c:formatCode>
                <c:ptCount val="20"/>
                <c:pt idx="0">
                  <c:v>835.85</c:v>
                </c:pt>
                <c:pt idx="1">
                  <c:v>852.56666666666672</c:v>
                </c:pt>
                <c:pt idx="2">
                  <c:v>869.61666666666667</c:v>
                </c:pt>
                <c:pt idx="3">
                  <c:v>887</c:v>
                </c:pt>
                <c:pt idx="4">
                  <c:v>904.75</c:v>
                </c:pt>
                <c:pt idx="5">
                  <c:v>922.83333333333337</c:v>
                </c:pt>
                <c:pt idx="6">
                  <c:v>941.3</c:v>
                </c:pt>
                <c:pt idx="7">
                  <c:v>960.11666666666667</c:v>
                </c:pt>
                <c:pt idx="8">
                  <c:v>979.33333333333337</c:v>
                </c:pt>
                <c:pt idx="9">
                  <c:v>998.91666666666663</c:v>
                </c:pt>
                <c:pt idx="10">
                  <c:v>1018.8833333333333</c:v>
                </c:pt>
                <c:pt idx="11">
                  <c:v>1039.2666666666667</c:v>
                </c:pt>
                <c:pt idx="12">
                  <c:v>1060.05</c:v>
                </c:pt>
                <c:pt idx="13">
                  <c:v>1081.25</c:v>
                </c:pt>
                <c:pt idx="14">
                  <c:v>1102.8833333333334</c:v>
                </c:pt>
                <c:pt idx="15">
                  <c:v>1124.9333333333334</c:v>
                </c:pt>
                <c:pt idx="16">
                  <c:v>1147.4333333333334</c:v>
                </c:pt>
                <c:pt idx="17">
                  <c:v>1170.3833333333334</c:v>
                </c:pt>
                <c:pt idx="18">
                  <c:v>1193.8</c:v>
                </c:pt>
                <c:pt idx="19">
                  <c:v>1217.6666666666667</c:v>
                </c:pt>
              </c:numCache>
            </c:numRef>
          </c:val>
          <c:smooth val="0"/>
          <c:extLst>
            <c:ext xmlns:c16="http://schemas.microsoft.com/office/drawing/2014/chart" uri="{C3380CC4-5D6E-409C-BE32-E72D297353CC}">
              <c16:uniqueId val="{00000002-21F5-4E00-A56F-B605357D63A7}"/>
            </c:ext>
          </c:extLst>
        </c:ser>
        <c:dLbls>
          <c:showLegendKey val="0"/>
          <c:showVal val="0"/>
          <c:showCatName val="0"/>
          <c:showSerName val="0"/>
          <c:showPercent val="0"/>
          <c:showBubbleSize val="0"/>
        </c:dLbls>
        <c:smooth val="0"/>
        <c:axId val="386874008"/>
        <c:axId val="386870728"/>
      </c:lineChart>
      <c:catAx>
        <c:axId val="386874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6870728"/>
        <c:crosses val="autoZero"/>
        <c:auto val="1"/>
        <c:lblAlgn val="ctr"/>
        <c:lblOffset val="100"/>
        <c:noMultiLvlLbl val="0"/>
      </c:catAx>
      <c:valAx>
        <c:axId val="38687072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86874008"/>
        <c:crosses val="autoZero"/>
        <c:crossBetween val="between"/>
      </c:valAx>
      <c:spPr>
        <a:noFill/>
        <a:ln>
          <a:solidFill>
            <a:schemeClr val="bg1"/>
          </a:solidFill>
        </a:ln>
        <a:effectLst/>
      </c:spPr>
    </c:plotArea>
    <c:legend>
      <c:legendPos val="t"/>
      <c:layout>
        <c:manualLayout>
          <c:xMode val="edge"/>
          <c:yMode val="edge"/>
          <c:x val="0.143609618067263"/>
          <c:y val="0.21063352945255198"/>
          <c:w val="0.76818170805572383"/>
          <c:h val="0.28087579049982031"/>
        </c:manualLayout>
      </c:layout>
      <c:overlay val="0"/>
      <c:spPr>
        <a:solidFill>
          <a:schemeClr val="bg1"/>
        </a:solidFill>
        <a:ln>
          <a:solidFill>
            <a:srgbClr val="0070C0"/>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rgbClr val="0070C0"/>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Trial</a:t>
            </a:r>
            <a:r>
              <a:rPr lang="en-US" sz="1400" baseline="0"/>
              <a:t> Deposits </a:t>
            </a:r>
            <a:r>
              <a:rPr lang="en-US" sz="1400"/>
              <a:t>Required Minimum Balance Test Results </a:t>
            </a:r>
          </a:p>
          <a:p>
            <a:pPr>
              <a:defRPr sz="1400"/>
            </a:pPr>
            <a:r>
              <a:rPr lang="en-US" sz="1400"/>
              <a:t>Trial Deposits RfR Balances vs</a:t>
            </a:r>
            <a:r>
              <a:rPr lang="en-US" sz="1400" baseline="0"/>
              <a:t> </a:t>
            </a:r>
            <a:r>
              <a:rPr lang="en-US" sz="1400"/>
              <a:t>Required Minimum Balance</a:t>
            </a:r>
          </a:p>
          <a:p>
            <a:pPr>
              <a:defRPr sz="1400"/>
            </a:pPr>
            <a:r>
              <a:rPr lang="en-US" sz="1400">
                <a:solidFill>
                  <a:srgbClr val="0070C0"/>
                </a:solidFill>
              </a:rPr>
              <a:t>(Test is met if Blue Columns are taller</a:t>
            </a:r>
            <a:r>
              <a:rPr lang="en-US" sz="1400" baseline="0">
                <a:solidFill>
                  <a:srgbClr val="0070C0"/>
                </a:solidFill>
              </a:rPr>
              <a:t> than Green Columns)</a:t>
            </a:r>
            <a:r>
              <a:rPr lang="en-US" sz="1400">
                <a:solidFill>
                  <a:srgbClr val="0070C0"/>
                </a:solidFill>
              </a:rPr>
              <a:t> </a:t>
            </a:r>
          </a:p>
        </c:rich>
      </c:tx>
      <c:overlay val="1"/>
      <c:spPr>
        <a:ln w="28575"/>
      </c:spPr>
    </c:title>
    <c:autoTitleDeleted val="0"/>
    <c:plotArea>
      <c:layout>
        <c:manualLayout>
          <c:layoutTarget val="inner"/>
          <c:xMode val="edge"/>
          <c:yMode val="edge"/>
          <c:x val="0.12762467191601035"/>
          <c:y val="0.27097304326320915"/>
          <c:w val="0.81775501073729451"/>
          <c:h val="0.64879656000446762"/>
        </c:manualLayout>
      </c:layout>
      <c:barChart>
        <c:barDir val="col"/>
        <c:grouping val="clustered"/>
        <c:varyColors val="0"/>
        <c:ser>
          <c:idx val="0"/>
          <c:order val="0"/>
          <c:tx>
            <c:strRef>
              <c:f>'eTool Data Engine'!$E$46</c:f>
              <c:strCache>
                <c:ptCount val="1"/>
                <c:pt idx="0">
                  <c:v>Trial Deposit results Ending RfR Balance</c:v>
                </c:pt>
              </c:strCache>
            </c:strRef>
          </c:tx>
          <c:invertIfNegative val="0"/>
          <c:val>
            <c:numRef>
              <c:f>'eTool Data Engine'!$F$46:$Y$46</c:f>
              <c:numCache>
                <c:formatCode>"$"#,##0_);[Red]\("$"#,##0\)</c:formatCode>
                <c:ptCount val="20"/>
                <c:pt idx="0">
                  <c:v>221800</c:v>
                </c:pt>
                <c:pt idx="1">
                  <c:v>230232</c:v>
                </c:pt>
                <c:pt idx="2">
                  <c:v>177387.4</c:v>
                </c:pt>
                <c:pt idx="3">
                  <c:v>152218.12939999998</c:v>
                </c:pt>
                <c:pt idx="4">
                  <c:v>124372.55810899998</c:v>
                </c:pt>
                <c:pt idx="5">
                  <c:v>99256.946383994975</c:v>
                </c:pt>
                <c:pt idx="6">
                  <c:v>102677.81648118209</c:v>
                </c:pt>
                <c:pt idx="7">
                  <c:v>82734.959947855561</c:v>
                </c:pt>
                <c:pt idx="8">
                  <c:v>76929.840090918253</c:v>
                </c:pt>
                <c:pt idx="9">
                  <c:v>71501.620551003783</c:v>
                </c:pt>
                <c:pt idx="10">
                  <c:v>-36982.765624834967</c:v>
                </c:pt>
                <c:pt idx="11">
                  <c:v>-141039.95431862085</c:v>
                </c:pt>
                <c:pt idx="12">
                  <c:v>-171835.76678628245</c:v>
                </c:pt>
                <c:pt idx="13">
                  <c:v>-215984.35550329729</c:v>
                </c:pt>
                <c:pt idx="14">
                  <c:v>-307888.67599465244</c:v>
                </c:pt>
                <c:pt idx="15">
                  <c:v>-295095.48289583466</c:v>
                </c:pt>
                <c:pt idx="16">
                  <c:v>-267914.32593504054</c:v>
                </c:pt>
                <c:pt idx="17">
                  <c:v>-284015.5458350305</c:v>
                </c:pt>
                <c:pt idx="18">
                  <c:v>-292605.2701330203</c:v>
                </c:pt>
                <c:pt idx="19">
                  <c:v>-560246.4089169699</c:v>
                </c:pt>
              </c:numCache>
            </c:numRef>
          </c:val>
          <c:extLst xmlns:c15="http://schemas.microsoft.com/office/drawing/2012/chart">
            <c:ext xmlns:c16="http://schemas.microsoft.com/office/drawing/2014/chart" uri="{C3380CC4-5D6E-409C-BE32-E72D297353CC}">
              <c16:uniqueId val="{00000000-8B27-4873-A10C-63C4135AC41B}"/>
            </c:ext>
          </c:extLst>
        </c:ser>
        <c:ser>
          <c:idx val="1"/>
          <c:order val="2"/>
          <c:tx>
            <c:strRef>
              <c:f>'eTool Data Engine'!$E$56</c:f>
              <c:strCache>
                <c:ptCount val="1"/>
                <c:pt idx="0">
                  <c:v>Minimum Required Balance</c:v>
                </c:pt>
              </c:strCache>
            </c:strRef>
          </c:tx>
          <c:spPr>
            <a:solidFill>
              <a:srgbClr val="92D050"/>
            </a:solidFill>
          </c:spPr>
          <c:invertIfNegative val="0"/>
          <c:val>
            <c:numRef>
              <c:f>'eTool Data Engine'!$F$56:$Y$56</c:f>
              <c:numCache>
                <c:formatCode>"$"#,##0_);[Red]\("$"#,##0\)</c:formatCode>
                <c:ptCount val="20"/>
                <c:pt idx="0">
                  <c:v>50151</c:v>
                </c:pt>
                <c:pt idx="1">
                  <c:v>51154</c:v>
                </c:pt>
                <c:pt idx="2">
                  <c:v>52177</c:v>
                </c:pt>
                <c:pt idx="3">
                  <c:v>53220</c:v>
                </c:pt>
                <c:pt idx="4">
                  <c:v>54285</c:v>
                </c:pt>
                <c:pt idx="5">
                  <c:v>55370</c:v>
                </c:pt>
                <c:pt idx="6">
                  <c:v>56478</c:v>
                </c:pt>
                <c:pt idx="7">
                  <c:v>57607</c:v>
                </c:pt>
                <c:pt idx="8">
                  <c:v>58760</c:v>
                </c:pt>
                <c:pt idx="9">
                  <c:v>59935</c:v>
                </c:pt>
                <c:pt idx="10">
                  <c:v>61133</c:v>
                </c:pt>
                <c:pt idx="11">
                  <c:v>62356</c:v>
                </c:pt>
                <c:pt idx="12">
                  <c:v>63603</c:v>
                </c:pt>
                <c:pt idx="13">
                  <c:v>64875</c:v>
                </c:pt>
                <c:pt idx="14">
                  <c:v>66173</c:v>
                </c:pt>
                <c:pt idx="15">
                  <c:v>67496</c:v>
                </c:pt>
                <c:pt idx="16">
                  <c:v>68846</c:v>
                </c:pt>
                <c:pt idx="17">
                  <c:v>70223</c:v>
                </c:pt>
                <c:pt idx="18">
                  <c:v>71628</c:v>
                </c:pt>
                <c:pt idx="19">
                  <c:v>73060</c:v>
                </c:pt>
              </c:numCache>
            </c:numRef>
          </c:val>
          <c:extLst>
            <c:ext xmlns:c16="http://schemas.microsoft.com/office/drawing/2014/chart" uri="{C3380CC4-5D6E-409C-BE32-E72D297353CC}">
              <c16:uniqueId val="{00000001-8B27-4873-A10C-63C4135AC41B}"/>
            </c:ext>
          </c:extLst>
        </c:ser>
        <c:dLbls>
          <c:showLegendKey val="0"/>
          <c:showVal val="0"/>
          <c:showCatName val="0"/>
          <c:showSerName val="0"/>
          <c:showPercent val="0"/>
          <c:showBubbleSize val="0"/>
        </c:dLbls>
        <c:gapWidth val="150"/>
        <c:axId val="92180864"/>
        <c:axId val="92182784"/>
        <c:extLst>
          <c:ext xmlns:c15="http://schemas.microsoft.com/office/drawing/2012/chart" uri="{02D57815-91ED-43cb-92C2-25804820EDAC}">
            <c15:filteredBarSeries>
              <c15:ser>
                <c:idx val="2"/>
                <c:order val="1"/>
                <c:tx>
                  <c:strRef>
                    <c:extLst>
                      <c:ext uri="{02D57815-91ED-43cb-92C2-25804820EDAC}">
                        <c15:formulaRef>
                          <c15:sqref>'eTool Data Engine'!$E$60</c15:sqref>
                        </c15:formulaRef>
                      </c:ext>
                    </c:extLst>
                    <c:strCache>
                      <c:ptCount val="1"/>
                    </c:strCache>
                  </c:strRef>
                </c:tx>
                <c:invertIfNegative val="0"/>
                <c:val>
                  <c:numRef>
                    <c:extLst>
                      <c:ext uri="{02D57815-91ED-43cb-92C2-25804820EDAC}">
                        <c15:formulaRef>
                          <c15:sqref>'eTool Data Engine'!$F$60:$Y$60</c15:sqref>
                        </c15:formulaRef>
                      </c:ext>
                    </c:extLst>
                    <c:numCache>
                      <c:formatCode>"$"#,##0_);[Red]\("$"#,##0\)</c:formatCode>
                      <c:ptCount val="20"/>
                    </c:numCache>
                  </c:numRef>
                </c:val>
                <c:extLst>
                  <c:ext xmlns:c16="http://schemas.microsoft.com/office/drawing/2014/chart" uri="{C3380CC4-5D6E-409C-BE32-E72D297353CC}">
                    <c16:uniqueId val="{00000002-8B27-4873-A10C-63C4135AC41B}"/>
                  </c:ext>
                </c:extLst>
              </c15:ser>
            </c15:filteredBarSeries>
          </c:ext>
        </c:extLst>
      </c:barChart>
      <c:catAx>
        <c:axId val="92180864"/>
        <c:scaling>
          <c:orientation val="minMax"/>
        </c:scaling>
        <c:delete val="0"/>
        <c:axPos val="b"/>
        <c:numFmt formatCode="General" sourceLinked="0"/>
        <c:majorTickMark val="out"/>
        <c:minorTickMark val="none"/>
        <c:tickLblPos val="nextTo"/>
        <c:txPr>
          <a:bodyPr/>
          <a:lstStyle/>
          <a:p>
            <a:pPr>
              <a:defRPr sz="900"/>
            </a:pPr>
            <a:endParaRPr lang="en-US"/>
          </a:p>
        </c:txPr>
        <c:crossAx val="92182784"/>
        <c:crosses val="autoZero"/>
        <c:auto val="1"/>
        <c:lblAlgn val="ctr"/>
        <c:lblOffset val="100"/>
        <c:noMultiLvlLbl val="0"/>
      </c:catAx>
      <c:valAx>
        <c:axId val="92182784"/>
        <c:scaling>
          <c:orientation val="minMax"/>
        </c:scaling>
        <c:delete val="0"/>
        <c:axPos val="l"/>
        <c:majorGridlines/>
        <c:numFmt formatCode="&quot;$&quot;#,##0_);[Red]\(&quot;$&quot;#,##0\)" sourceLinked="1"/>
        <c:majorTickMark val="out"/>
        <c:minorTickMark val="none"/>
        <c:tickLblPos val="nextTo"/>
        <c:txPr>
          <a:bodyPr/>
          <a:lstStyle/>
          <a:p>
            <a:pPr>
              <a:defRPr sz="900"/>
            </a:pPr>
            <a:endParaRPr lang="en-US"/>
          </a:p>
        </c:txPr>
        <c:crossAx val="92180864"/>
        <c:crosses val="autoZero"/>
        <c:crossBetween val="between"/>
      </c:valAx>
    </c:plotArea>
    <c:legend>
      <c:legendPos val="t"/>
      <c:legendEntry>
        <c:idx val="0"/>
        <c:txPr>
          <a:bodyPr/>
          <a:lstStyle/>
          <a:p>
            <a:pPr>
              <a:defRPr sz="1200"/>
            </a:pPr>
            <a:endParaRPr lang="en-US"/>
          </a:p>
        </c:txPr>
      </c:legendEntry>
      <c:legendEntry>
        <c:idx val="1"/>
        <c:txPr>
          <a:bodyPr/>
          <a:lstStyle/>
          <a:p>
            <a:pPr>
              <a:defRPr sz="1200"/>
            </a:pPr>
            <a:endParaRPr lang="en-US"/>
          </a:p>
        </c:txPr>
      </c:legendEntry>
      <c:layout>
        <c:manualLayout>
          <c:xMode val="edge"/>
          <c:yMode val="edge"/>
          <c:x val="0.15889761179685685"/>
          <c:y val="0.61282560107506601"/>
          <c:w val="0.40197679804388337"/>
          <c:h val="0.13637667631971537"/>
        </c:manualLayout>
      </c:layout>
      <c:overlay val="1"/>
      <c:spPr>
        <a:solidFill>
          <a:schemeClr val="bg1"/>
        </a:solidFill>
        <a:ln>
          <a:solidFill>
            <a:schemeClr val="accent1"/>
          </a:solidFill>
        </a:ln>
      </c:spPr>
      <c:txPr>
        <a:bodyPr/>
        <a:lstStyle/>
        <a:p>
          <a:pPr>
            <a:defRPr sz="1050"/>
          </a:pPr>
          <a:endParaRPr lang="en-US"/>
        </a:p>
      </c:txPr>
    </c:legend>
    <c:plotVisOnly val="1"/>
    <c:dispBlanksAs val="gap"/>
    <c:showDLblsOverMax val="0"/>
  </c:chart>
  <c:spPr>
    <a:ln w="19050">
      <a:solidFill>
        <a:schemeClr val="tx1"/>
      </a:solidFill>
    </a:ln>
  </c:spPr>
  <c:printSettings>
    <c:headerFooter/>
    <c:pageMargins b="0.75000000000000033" l="0.70000000000000029" r="0.70000000000000029" t="0.75000000000000033" header="0.30000000000000016" footer="0.30000000000000016"/>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Annual Inflows into the Reserve for Replacements</a:t>
            </a:r>
          </a:p>
        </c:rich>
      </c:tx>
      <c:layout>
        <c:manualLayout>
          <c:xMode val="edge"/>
          <c:yMode val="edge"/>
          <c:x val="0.13370573961273718"/>
          <c:y val="5.6224899598393545E-2"/>
        </c:manualLayout>
      </c:layout>
      <c:overlay val="1"/>
    </c:title>
    <c:autoTitleDeleted val="0"/>
    <c:plotArea>
      <c:layout>
        <c:manualLayout>
          <c:layoutTarget val="inner"/>
          <c:xMode val="edge"/>
          <c:yMode val="edge"/>
          <c:x val="0.12832174103237096"/>
          <c:y val="0.28044208329380554"/>
          <c:w val="0.74787204724409506"/>
          <c:h val="0.60865277382495853"/>
        </c:manualLayout>
      </c:layout>
      <c:barChart>
        <c:barDir val="col"/>
        <c:grouping val="stacked"/>
        <c:varyColors val="0"/>
        <c:ser>
          <c:idx val="1"/>
          <c:order val="0"/>
          <c:tx>
            <c:strRef>
              <c:f>'Trial Deposits Engine'!$G$211</c:f>
              <c:strCache>
                <c:ptCount val="1"/>
                <c:pt idx="0">
                  <c:v>Inflationary Increase in Annual Deposit</c:v>
                </c:pt>
              </c:strCache>
            </c:strRef>
          </c:tx>
          <c:invertIfNegative val="0"/>
          <c:cat>
            <c:numRef>
              <c:f>'Trial Deposits Engine'!$H$208:$Q$208</c:f>
              <c:numCache>
                <c:formatCode>0</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Engine'!$H$211:$Q$211</c:f>
              <c:numCache>
                <c:formatCode>"$"#,##0.0_);[Red]\("$"#,##0.0\)</c:formatCode>
                <c:ptCount val="10"/>
                <c:pt idx="0">
                  <c:v>0</c:v>
                </c:pt>
                <c:pt idx="1">
                  <c:v>396.00000000000034</c:v>
                </c:pt>
                <c:pt idx="2">
                  <c:v>799.91999999999985</c:v>
                </c:pt>
                <c:pt idx="3">
                  <c:v>1211.9183999999987</c:v>
                </c:pt>
                <c:pt idx="4">
                  <c:v>1632.1567679999996</c:v>
                </c:pt>
                <c:pt idx="5">
                  <c:v>2060.7999033600004</c:v>
                </c:pt>
                <c:pt idx="6">
                  <c:v>2498.0159014272012</c:v>
                </c:pt>
                <c:pt idx="7">
                  <c:v>2943.9762194557447</c:v>
                </c:pt>
                <c:pt idx="8">
                  <c:v>3398.8557438448615</c:v>
                </c:pt>
                <c:pt idx="9">
                  <c:v>3862.8328587217588</c:v>
                </c:pt>
              </c:numCache>
            </c:numRef>
          </c:val>
          <c:extLst>
            <c:ext xmlns:c16="http://schemas.microsoft.com/office/drawing/2014/chart" uri="{C3380CC4-5D6E-409C-BE32-E72D297353CC}">
              <c16:uniqueId val="{00000000-9D86-4C24-B6C6-B9E04A5A804A}"/>
            </c:ext>
          </c:extLst>
        </c:ser>
        <c:ser>
          <c:idx val="0"/>
          <c:order val="1"/>
          <c:tx>
            <c:strRef>
              <c:f>'Trial Deposits Engine'!$G$210</c:f>
              <c:strCache>
                <c:ptCount val="1"/>
                <c:pt idx="0">
                  <c:v>Base Annual RfR Deposit</c:v>
                </c:pt>
              </c:strCache>
            </c:strRef>
          </c:tx>
          <c:invertIfNegative val="0"/>
          <c:cat>
            <c:numRef>
              <c:f>'Trial Deposits Engine'!$H$208:$Q$208</c:f>
              <c:numCache>
                <c:formatCode>0</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Engine'!$H$210:$Q$210</c:f>
              <c:numCache>
                <c:formatCode>"$"#,##0.0_);[Red]\("$"#,##0.0\)</c:formatCode>
                <c:ptCount val="10"/>
                <c:pt idx="0">
                  <c:v>19800</c:v>
                </c:pt>
                <c:pt idx="1">
                  <c:v>19800</c:v>
                </c:pt>
                <c:pt idx="2">
                  <c:v>19800</c:v>
                </c:pt>
                <c:pt idx="3">
                  <c:v>19800</c:v>
                </c:pt>
                <c:pt idx="4">
                  <c:v>19800</c:v>
                </c:pt>
                <c:pt idx="5">
                  <c:v>19800</c:v>
                </c:pt>
                <c:pt idx="6">
                  <c:v>19800</c:v>
                </c:pt>
                <c:pt idx="7">
                  <c:v>19800</c:v>
                </c:pt>
                <c:pt idx="8">
                  <c:v>19800</c:v>
                </c:pt>
                <c:pt idx="9">
                  <c:v>19800</c:v>
                </c:pt>
              </c:numCache>
            </c:numRef>
          </c:val>
          <c:extLst>
            <c:ext xmlns:c16="http://schemas.microsoft.com/office/drawing/2014/chart" uri="{C3380CC4-5D6E-409C-BE32-E72D297353CC}">
              <c16:uniqueId val="{00000001-9D86-4C24-B6C6-B9E04A5A804A}"/>
            </c:ext>
          </c:extLst>
        </c:ser>
        <c:ser>
          <c:idx val="2"/>
          <c:order val="2"/>
          <c:tx>
            <c:strRef>
              <c:f>'Trial Deposits Engine'!$G$209</c:f>
              <c:strCache>
                <c:ptCount val="1"/>
                <c:pt idx="0">
                  <c:v>Interest Income on RfR balance</c:v>
                </c:pt>
              </c:strCache>
            </c:strRef>
          </c:tx>
          <c:spPr>
            <a:ln w="25400">
              <a:noFill/>
            </a:ln>
          </c:spPr>
          <c:invertIfNegative val="0"/>
          <c:cat>
            <c:numRef>
              <c:f>'Trial Deposits Engine'!$H$208:$Q$208</c:f>
              <c:numCache>
                <c:formatCode>0</c:formatCode>
                <c:ptCount val="10"/>
                <c:pt idx="0">
                  <c:v>1</c:v>
                </c:pt>
                <c:pt idx="1">
                  <c:v>2</c:v>
                </c:pt>
                <c:pt idx="2">
                  <c:v>3</c:v>
                </c:pt>
                <c:pt idx="3">
                  <c:v>4</c:v>
                </c:pt>
                <c:pt idx="4">
                  <c:v>5</c:v>
                </c:pt>
                <c:pt idx="5">
                  <c:v>6</c:v>
                </c:pt>
                <c:pt idx="6">
                  <c:v>7</c:v>
                </c:pt>
                <c:pt idx="7">
                  <c:v>8</c:v>
                </c:pt>
                <c:pt idx="8">
                  <c:v>9</c:v>
                </c:pt>
                <c:pt idx="9">
                  <c:v>10</c:v>
                </c:pt>
              </c:numCache>
            </c:numRef>
          </c:cat>
          <c:val>
            <c:numRef>
              <c:f>'Trial Deposits Engine'!$H$209:$Q$209</c:f>
              <c:numCache>
                <c:formatCode>"$"#,##0.0_);[Red]\("$"#,##0.0\)</c:formatCode>
                <c:ptCount val="10"/>
                <c:pt idx="0">
                  <c:v>2000</c:v>
                </c:pt>
                <c:pt idx="1">
                  <c:v>2218</c:v>
                </c:pt>
                <c:pt idx="2">
                  <c:v>3453.48</c:v>
                </c:pt>
                <c:pt idx="3">
                  <c:v>2660.8109999999997</c:v>
                </c:pt>
                <c:pt idx="4">
                  <c:v>2283.2719409999995</c:v>
                </c:pt>
                <c:pt idx="5">
                  <c:v>1865.5883716349995</c:v>
                </c:pt>
                <c:pt idx="6">
                  <c:v>1488.8541957599246</c:v>
                </c:pt>
                <c:pt idx="7">
                  <c:v>1540.1672472177313</c:v>
                </c:pt>
                <c:pt idx="8">
                  <c:v>1241.0243992178334</c:v>
                </c:pt>
                <c:pt idx="9">
                  <c:v>1153.9476013637739</c:v>
                </c:pt>
              </c:numCache>
            </c:numRef>
          </c:val>
          <c:extLst>
            <c:ext xmlns:c16="http://schemas.microsoft.com/office/drawing/2014/chart" uri="{C3380CC4-5D6E-409C-BE32-E72D297353CC}">
              <c16:uniqueId val="{00000002-9D86-4C24-B6C6-B9E04A5A804A}"/>
            </c:ext>
          </c:extLst>
        </c:ser>
        <c:ser>
          <c:idx val="3"/>
          <c:order val="3"/>
          <c:tx>
            <c:strRef>
              <c:f>'Trial Deposits Engine'!$G$212</c:f>
              <c:strCache>
                <c:ptCount val="1"/>
                <c:pt idx="0">
                  <c:v>Note: Highest Annual Withdrawal to equalize Sources and Needs graphs scales</c:v>
                </c:pt>
              </c:strCache>
            </c:strRef>
          </c:tx>
          <c:invertIfNegative val="0"/>
          <c:cat>
            <c:numRef>
              <c:f>'Trial Deposits Engine'!$H$208:$Q$208</c:f>
              <c:numCache>
                <c:formatCode>0</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Engine'!$H$212:$R$212</c:f>
              <c:numCache>
                <c:formatCode>"$"#,##0.0_);[Red]\("$"#,##0.0\)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3-9D86-4C24-B6C6-B9E04A5A804A}"/>
            </c:ext>
          </c:extLst>
        </c:ser>
        <c:dLbls>
          <c:showLegendKey val="0"/>
          <c:showVal val="0"/>
          <c:showCatName val="0"/>
          <c:showSerName val="0"/>
          <c:showPercent val="0"/>
          <c:showBubbleSize val="0"/>
        </c:dLbls>
        <c:gapWidth val="150"/>
        <c:overlap val="100"/>
        <c:axId val="99372416"/>
        <c:axId val="99382784"/>
      </c:barChart>
      <c:catAx>
        <c:axId val="99372416"/>
        <c:scaling>
          <c:orientation val="minMax"/>
        </c:scaling>
        <c:delete val="0"/>
        <c:axPos val="b"/>
        <c:title>
          <c:tx>
            <c:rich>
              <a:bodyPr/>
              <a:lstStyle/>
              <a:p>
                <a:pPr>
                  <a:defRPr/>
                </a:pPr>
                <a:r>
                  <a:rPr lang="en-US"/>
                  <a:t>Relative Year</a:t>
                </a:r>
              </a:p>
            </c:rich>
          </c:tx>
          <c:overlay val="0"/>
        </c:title>
        <c:numFmt formatCode="0" sourceLinked="1"/>
        <c:majorTickMark val="out"/>
        <c:minorTickMark val="none"/>
        <c:tickLblPos val="nextTo"/>
        <c:crossAx val="99382784"/>
        <c:crosses val="autoZero"/>
        <c:auto val="1"/>
        <c:lblAlgn val="ctr"/>
        <c:lblOffset val="100"/>
        <c:noMultiLvlLbl val="0"/>
      </c:catAx>
      <c:valAx>
        <c:axId val="99382784"/>
        <c:scaling>
          <c:orientation val="minMax"/>
        </c:scaling>
        <c:delete val="0"/>
        <c:axPos val="l"/>
        <c:majorGridlines/>
        <c:numFmt formatCode="&quot;$&quot;#,##0_);[Red]\(&quot;$&quot;#,##0\)" sourceLinked="0"/>
        <c:majorTickMark val="out"/>
        <c:minorTickMark val="none"/>
        <c:tickLblPos val="nextTo"/>
        <c:crossAx val="99372416"/>
        <c:crosses val="autoZero"/>
        <c:crossBetween val="between"/>
      </c:valAx>
    </c:plotArea>
    <c:legend>
      <c:legendPos val="r"/>
      <c:layout>
        <c:manualLayout>
          <c:xMode val="edge"/>
          <c:yMode val="edge"/>
          <c:x val="0.14731441588669364"/>
          <c:y val="0.21501017192128091"/>
          <c:w val="0.46143271278318077"/>
          <c:h val="0.31591689593017791"/>
        </c:manualLayout>
      </c:layout>
      <c:overlay val="0"/>
      <c:spPr>
        <a:solidFill>
          <a:schemeClr val="accent1">
            <a:lumMod val="20000"/>
            <a:lumOff val="80000"/>
          </a:schemeClr>
        </a:solidFill>
        <a:ln>
          <a:solidFill>
            <a:schemeClr val="tx1"/>
          </a:solidFill>
        </a:ln>
      </c:spPr>
      <c:txPr>
        <a:bodyPr/>
        <a:lstStyle/>
        <a:p>
          <a:pPr>
            <a:defRPr lang="en-US" sz="1000" b="0" i="0" u="none" strike="noStrike" kern="1200" baseline="0">
              <a:solidFill>
                <a:sysClr val="windowText" lastClr="000000"/>
              </a:solidFill>
              <a:latin typeface="+mn-lt"/>
              <a:ea typeface="+mn-ea"/>
              <a:cs typeface="+mn-cs"/>
            </a:defRPr>
          </a:pPr>
          <a:endParaRPr lang="en-US"/>
        </a:p>
      </c:tx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Annual Needs Showing Inflationary Adjustments</a:t>
            </a:r>
          </a:p>
        </c:rich>
      </c:tx>
      <c:layout>
        <c:manualLayout>
          <c:xMode val="edge"/>
          <c:yMode val="edge"/>
          <c:x val="0.13341805516627958"/>
          <c:y val="6.7476383265856948E-2"/>
        </c:manualLayout>
      </c:layout>
      <c:overlay val="1"/>
    </c:title>
    <c:autoTitleDeleted val="0"/>
    <c:plotArea>
      <c:layout>
        <c:manualLayout>
          <c:layoutTarget val="inner"/>
          <c:xMode val="edge"/>
          <c:yMode val="edge"/>
          <c:x val="0.12752471158496492"/>
          <c:y val="0.26862009595739328"/>
          <c:w val="0.81055650652364108"/>
          <c:h val="0.63399738298018915"/>
        </c:manualLayout>
      </c:layout>
      <c:barChart>
        <c:barDir val="col"/>
        <c:grouping val="stacked"/>
        <c:varyColors val="0"/>
        <c:ser>
          <c:idx val="0"/>
          <c:order val="0"/>
          <c:tx>
            <c:strRef>
              <c:f>'Trial Deposits Engine'!$G$216</c:f>
              <c:strCache>
                <c:ptCount val="1"/>
                <c:pt idx="0">
                  <c:v>Duration Adjusted Uninflated Needs</c:v>
                </c:pt>
              </c:strCache>
            </c:strRef>
          </c:tx>
          <c:invertIfNegative val="0"/>
          <c:cat>
            <c:numRef>
              <c:f>'Trial Deposits Engine'!$H$215:$Q$215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Engine'!$H$216:$Q$216</c:f>
              <c:numCache>
                <c:formatCode>"$"#,##0_);[Red]\("$"#,##0\)</c:formatCode>
                <c:ptCount val="10"/>
                <c:pt idx="0">
                  <c:v>0</c:v>
                </c:pt>
                <c:pt idx="1">
                  <c:v>-13707.843137254902</c:v>
                </c:pt>
                <c:pt idx="2">
                  <c:v>-73911.956939638607</c:v>
                </c:pt>
                <c:pt idx="3">
                  <c:v>-46024.907463946751</c:v>
                </c:pt>
                <c:pt idx="4">
                  <c:v>-47634.394011353099</c:v>
                </c:pt>
                <c:pt idx="5">
                  <c:v>-44237.704213712757</c:v>
                </c:pt>
                <c:pt idx="6">
                  <c:v>-18084.425169603986</c:v>
                </c:pt>
                <c:pt idx="7">
                  <c:v>-38502.265019557562</c:v>
                </c:pt>
                <c:pt idx="8">
                  <c:v>-25813.81627664492</c:v>
                </c:pt>
                <c:pt idx="9">
                  <c:v>-25307.663016318547</c:v>
                </c:pt>
              </c:numCache>
            </c:numRef>
          </c:val>
          <c:extLst>
            <c:ext xmlns:c16="http://schemas.microsoft.com/office/drawing/2014/chart" uri="{C3380CC4-5D6E-409C-BE32-E72D297353CC}">
              <c16:uniqueId val="{00000000-CA03-4C18-A846-0BE31801BA01}"/>
            </c:ext>
          </c:extLst>
        </c:ser>
        <c:ser>
          <c:idx val="1"/>
          <c:order val="1"/>
          <c:tx>
            <c:strRef>
              <c:f>'Trial Deposits Engine'!$G$217</c:f>
              <c:strCache>
                <c:ptCount val="1"/>
                <c:pt idx="0">
                  <c:v>Inflation in Needs Amount</c:v>
                </c:pt>
              </c:strCache>
            </c:strRef>
          </c:tx>
          <c:invertIfNegative val="0"/>
          <c:cat>
            <c:numRef>
              <c:f>'Trial Deposits Engine'!$H$215:$Q$215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Engine'!$H$217:$Q$217</c:f>
              <c:numCache>
                <c:formatCode>"$"#,##0_);[Red]\("$"#,##0\)</c:formatCode>
                <c:ptCount val="10"/>
                <c:pt idx="0">
                  <c:v>0</c:v>
                </c:pt>
                <c:pt idx="1">
                  <c:v>-274.15686274509829</c:v>
                </c:pt>
                <c:pt idx="2">
                  <c:v>-2986.0430603613991</c:v>
                </c:pt>
                <c:pt idx="3">
                  <c:v>-2817.0925360532497</c:v>
                </c:pt>
                <c:pt idx="4">
                  <c:v>-3926.6059886468993</c:v>
                </c:pt>
                <c:pt idx="5">
                  <c:v>-4604.295786287249</c:v>
                </c:pt>
                <c:pt idx="6">
                  <c:v>-2281.5748303960136</c:v>
                </c:pt>
                <c:pt idx="7">
                  <c:v>-5724.7349804424366</c:v>
                </c:pt>
                <c:pt idx="8">
                  <c:v>-4431.1837233550796</c:v>
                </c:pt>
                <c:pt idx="9">
                  <c:v>-4937.33698368145</c:v>
                </c:pt>
              </c:numCache>
            </c:numRef>
          </c:val>
          <c:extLst>
            <c:ext xmlns:c16="http://schemas.microsoft.com/office/drawing/2014/chart" uri="{C3380CC4-5D6E-409C-BE32-E72D297353CC}">
              <c16:uniqueId val="{00000001-CA03-4C18-A846-0BE31801BA01}"/>
            </c:ext>
          </c:extLst>
        </c:ser>
        <c:dLbls>
          <c:showLegendKey val="0"/>
          <c:showVal val="0"/>
          <c:showCatName val="0"/>
          <c:showSerName val="0"/>
          <c:showPercent val="0"/>
          <c:showBubbleSize val="0"/>
        </c:dLbls>
        <c:gapWidth val="150"/>
        <c:overlap val="100"/>
        <c:axId val="99404800"/>
        <c:axId val="99411072"/>
      </c:barChart>
      <c:catAx>
        <c:axId val="99404800"/>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99411072"/>
        <c:crosses val="autoZero"/>
        <c:auto val="1"/>
        <c:lblAlgn val="ctr"/>
        <c:lblOffset val="100"/>
        <c:noMultiLvlLbl val="0"/>
      </c:catAx>
      <c:valAx>
        <c:axId val="99411072"/>
        <c:scaling>
          <c:orientation val="minMax"/>
        </c:scaling>
        <c:delete val="0"/>
        <c:axPos val="l"/>
        <c:majorGridlines/>
        <c:numFmt formatCode="&quot;$&quot;#,##0_);[Red]\(&quot;$&quot;#,##0\)" sourceLinked="1"/>
        <c:majorTickMark val="out"/>
        <c:minorTickMark val="none"/>
        <c:tickLblPos val="nextTo"/>
        <c:crossAx val="99404800"/>
        <c:crosses val="autoZero"/>
        <c:crossBetween val="between"/>
      </c:valAx>
    </c:plotArea>
    <c:legend>
      <c:legendPos val="r"/>
      <c:layout>
        <c:manualLayout>
          <c:xMode val="edge"/>
          <c:yMode val="edge"/>
          <c:x val="0.18189074191812979"/>
          <c:y val="0.32442811995439397"/>
          <c:w val="0.21993796967990625"/>
          <c:h val="9.7416368408494464E-2"/>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1196342392684828"/>
          <c:y val="6.0606060606060622E-2"/>
        </c:manualLayout>
      </c:layout>
      <c:overlay val="0"/>
    </c:title>
    <c:autoTitleDeleted val="0"/>
    <c:plotArea>
      <c:layout>
        <c:manualLayout>
          <c:layoutTarget val="inner"/>
          <c:xMode val="edge"/>
          <c:yMode val="edge"/>
          <c:x val="0.1343073700640155"/>
          <c:y val="0.27576859795510655"/>
          <c:w val="0.79370549929505663"/>
          <c:h val="0.62726720727073304"/>
        </c:manualLayout>
      </c:layout>
      <c:barChart>
        <c:barDir val="col"/>
        <c:grouping val="stacked"/>
        <c:varyColors val="0"/>
        <c:ser>
          <c:idx val="0"/>
          <c:order val="0"/>
          <c:tx>
            <c:strRef>
              <c:f>'Trial Deposits Engine'!$G$222</c:f>
              <c:strCache>
                <c:ptCount val="1"/>
                <c:pt idx="0">
                  <c:v>Net Annual Change in R4R</c:v>
                </c:pt>
              </c:strCache>
            </c:strRef>
          </c:tx>
          <c:invertIfNegative val="0"/>
          <c:cat>
            <c:numRef>
              <c:f>'Trial Deposits Engine'!$H$221:$Q$221</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Engine'!$H$222:$Q$222</c:f>
              <c:numCache>
                <c:formatCode>"$"#,##0.00_);[Red]\("$"#,##0.00\)</c:formatCode>
                <c:ptCount val="10"/>
                <c:pt idx="0">
                  <c:v>21800</c:v>
                </c:pt>
                <c:pt idx="1">
                  <c:v>8432</c:v>
                </c:pt>
                <c:pt idx="2">
                  <c:v>-52844.600000000006</c:v>
                </c:pt>
                <c:pt idx="3">
                  <c:v>-25169.2706</c:v>
                </c:pt>
                <c:pt idx="4">
                  <c:v>-27845.571291</c:v>
                </c:pt>
                <c:pt idx="5">
                  <c:v>-25115.611725005008</c:v>
                </c:pt>
                <c:pt idx="6">
                  <c:v>3420.8700971871222</c:v>
                </c:pt>
                <c:pt idx="7">
                  <c:v>-19942.856533326525</c:v>
                </c:pt>
                <c:pt idx="8">
                  <c:v>-5805.1198569373046</c:v>
                </c:pt>
                <c:pt idx="9">
                  <c:v>-5428.2195399144657</c:v>
                </c:pt>
              </c:numCache>
            </c:numRef>
          </c:val>
          <c:extLst>
            <c:ext xmlns:c16="http://schemas.microsoft.com/office/drawing/2014/chart" uri="{C3380CC4-5D6E-409C-BE32-E72D297353CC}">
              <c16:uniqueId val="{00000000-8D36-4E97-87C2-96353899185A}"/>
            </c:ext>
          </c:extLst>
        </c:ser>
        <c:dLbls>
          <c:showLegendKey val="0"/>
          <c:showVal val="0"/>
          <c:showCatName val="0"/>
          <c:showSerName val="0"/>
          <c:showPercent val="0"/>
          <c:showBubbleSize val="0"/>
        </c:dLbls>
        <c:gapWidth val="150"/>
        <c:overlap val="100"/>
        <c:axId val="105305600"/>
        <c:axId val="105307520"/>
      </c:barChart>
      <c:catAx>
        <c:axId val="105305600"/>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105307520"/>
        <c:crosses val="autoZero"/>
        <c:auto val="1"/>
        <c:lblAlgn val="ctr"/>
        <c:lblOffset val="100"/>
        <c:noMultiLvlLbl val="0"/>
      </c:catAx>
      <c:valAx>
        <c:axId val="105307520"/>
        <c:scaling>
          <c:orientation val="minMax"/>
        </c:scaling>
        <c:delete val="0"/>
        <c:axPos val="l"/>
        <c:majorGridlines/>
        <c:numFmt formatCode="&quot;$&quot;#,##0.00_);[Red]\(&quot;$&quot;#,##0.00\)" sourceLinked="1"/>
        <c:majorTickMark val="out"/>
        <c:minorTickMark val="none"/>
        <c:tickLblPos val="nextTo"/>
        <c:crossAx val="105305600"/>
        <c:crosses val="autoZero"/>
        <c:crossBetween val="between"/>
      </c:valAx>
    </c:plotArea>
    <c:legend>
      <c:legendPos val="r"/>
      <c:layout>
        <c:manualLayout>
          <c:xMode val="edge"/>
          <c:yMode val="edge"/>
          <c:x val="0.53611938760109401"/>
          <c:y val="0.32135033493947629"/>
          <c:w val="0.22334387388104793"/>
          <c:h val="4.98495091955026E-2"/>
        </c:manualLayout>
      </c:layout>
      <c:overlay val="0"/>
      <c:spPr>
        <a:solidFill>
          <a:schemeClr val="accent1">
            <a:lumMod val="20000"/>
            <a:lumOff val="80000"/>
          </a:schemeClr>
        </a:solidFill>
        <a:ln>
          <a:solidFill>
            <a:schemeClr val="tx1"/>
          </a:solidFill>
        </a:ln>
      </c:spPr>
    </c:legend>
    <c:plotVisOnly val="1"/>
    <c:dispBlanksAs val="gap"/>
    <c:showDLblsOverMax val="0"/>
  </c:chart>
  <c:printSettings>
    <c:headerFooter/>
    <c:pageMargins b="0.75000000000000044" l="0.7000000000000004" r="0.7000000000000004" t="0.75000000000000044" header="0.30000000000000021" footer="0.30000000000000021"/>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Sources for funding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2143028945421086"/>
          <c:y val="0.19705063390421468"/>
          <c:w val="0.8249284204515418"/>
          <c:h val="0.70448937581491911"/>
        </c:manualLayout>
      </c:layout>
      <c:areaChart>
        <c:grouping val="stacked"/>
        <c:varyColors val="0"/>
        <c:ser>
          <c:idx val="1"/>
          <c:order val="0"/>
          <c:tx>
            <c:strRef>
              <c:f>'Trial Deposits Engine'!$G$227</c:f>
              <c:strCache>
                <c:ptCount val="1"/>
                <c:pt idx="0">
                  <c:v>Initial Deposit</c:v>
                </c:pt>
              </c:strCache>
            </c:strRef>
          </c:tx>
          <c:val>
            <c:numRef>
              <c:f>'Trial Deposits Engine'!$H$227:$Q$227</c:f>
              <c:numCache>
                <c:formatCode>"$"#,##0</c:formatCode>
                <c:ptCount val="10"/>
                <c:pt idx="0">
                  <c:v>200000</c:v>
                </c:pt>
                <c:pt idx="1">
                  <c:v>200000</c:v>
                </c:pt>
                <c:pt idx="2">
                  <c:v>200000</c:v>
                </c:pt>
                <c:pt idx="3">
                  <c:v>200000</c:v>
                </c:pt>
                <c:pt idx="4">
                  <c:v>200000</c:v>
                </c:pt>
                <c:pt idx="5">
                  <c:v>200000</c:v>
                </c:pt>
                <c:pt idx="6">
                  <c:v>200000</c:v>
                </c:pt>
                <c:pt idx="7">
                  <c:v>200000</c:v>
                </c:pt>
                <c:pt idx="8">
                  <c:v>200000</c:v>
                </c:pt>
                <c:pt idx="9">
                  <c:v>200000</c:v>
                </c:pt>
              </c:numCache>
            </c:numRef>
          </c:val>
          <c:extLst>
            <c:ext xmlns:c16="http://schemas.microsoft.com/office/drawing/2014/chart" uri="{C3380CC4-5D6E-409C-BE32-E72D297353CC}">
              <c16:uniqueId val="{00000000-5C6E-48EB-8AAD-6BF6ED8D93B5}"/>
            </c:ext>
          </c:extLst>
        </c:ser>
        <c:ser>
          <c:idx val="2"/>
          <c:order val="1"/>
          <c:tx>
            <c:strRef>
              <c:f>'Trial Deposits Engine'!$G$228</c:f>
              <c:strCache>
                <c:ptCount val="1"/>
                <c:pt idx="0">
                  <c:v>Interest Income on RfR balance</c:v>
                </c:pt>
              </c:strCache>
            </c:strRef>
          </c:tx>
          <c:val>
            <c:numRef>
              <c:f>'Trial Deposits Engine'!$H$228:$Q$228</c:f>
              <c:numCache>
                <c:formatCode>"$"#,##0</c:formatCode>
                <c:ptCount val="10"/>
                <c:pt idx="0">
                  <c:v>2000</c:v>
                </c:pt>
                <c:pt idx="1">
                  <c:v>4218</c:v>
                </c:pt>
                <c:pt idx="2">
                  <c:v>7671.48</c:v>
                </c:pt>
                <c:pt idx="3">
                  <c:v>10332.290999999999</c:v>
                </c:pt>
                <c:pt idx="4">
                  <c:v>12615.562940999998</c:v>
                </c:pt>
                <c:pt idx="5">
                  <c:v>14481.151312634998</c:v>
                </c:pt>
                <c:pt idx="6">
                  <c:v>15970.005508394923</c:v>
                </c:pt>
                <c:pt idx="7">
                  <c:v>17510.172755612653</c:v>
                </c:pt>
                <c:pt idx="8">
                  <c:v>18751.197154830486</c:v>
                </c:pt>
                <c:pt idx="9">
                  <c:v>19905.144756194259</c:v>
                </c:pt>
              </c:numCache>
            </c:numRef>
          </c:val>
          <c:extLst>
            <c:ext xmlns:c16="http://schemas.microsoft.com/office/drawing/2014/chart" uri="{C3380CC4-5D6E-409C-BE32-E72D297353CC}">
              <c16:uniqueId val="{00000001-5C6E-48EB-8AAD-6BF6ED8D93B5}"/>
            </c:ext>
          </c:extLst>
        </c:ser>
        <c:ser>
          <c:idx val="3"/>
          <c:order val="2"/>
          <c:tx>
            <c:strRef>
              <c:f>'Trial Deposits Engine'!$G$229</c:f>
              <c:strCache>
                <c:ptCount val="1"/>
                <c:pt idx="0">
                  <c:v>Base Annual RfR Deposit</c:v>
                </c:pt>
              </c:strCache>
            </c:strRef>
          </c:tx>
          <c:val>
            <c:numRef>
              <c:f>'Trial Deposits Engine'!$H$229:$Q$229</c:f>
              <c:numCache>
                <c:formatCode>"$"#,##0</c:formatCode>
                <c:ptCount val="10"/>
                <c:pt idx="0">
                  <c:v>19800</c:v>
                </c:pt>
                <c:pt idx="1">
                  <c:v>39600</c:v>
                </c:pt>
                <c:pt idx="2">
                  <c:v>59400</c:v>
                </c:pt>
                <c:pt idx="3">
                  <c:v>79200</c:v>
                </c:pt>
                <c:pt idx="4">
                  <c:v>99000</c:v>
                </c:pt>
                <c:pt idx="5">
                  <c:v>118800</c:v>
                </c:pt>
                <c:pt idx="6">
                  <c:v>138600</c:v>
                </c:pt>
                <c:pt idx="7">
                  <c:v>158400</c:v>
                </c:pt>
                <c:pt idx="8">
                  <c:v>178200</c:v>
                </c:pt>
                <c:pt idx="9">
                  <c:v>198000</c:v>
                </c:pt>
              </c:numCache>
            </c:numRef>
          </c:val>
          <c:extLst>
            <c:ext xmlns:c16="http://schemas.microsoft.com/office/drawing/2014/chart" uri="{C3380CC4-5D6E-409C-BE32-E72D297353CC}">
              <c16:uniqueId val="{00000002-5C6E-48EB-8AAD-6BF6ED8D93B5}"/>
            </c:ext>
          </c:extLst>
        </c:ser>
        <c:ser>
          <c:idx val="4"/>
          <c:order val="3"/>
          <c:tx>
            <c:strRef>
              <c:f>'Trial Deposits Engine'!$G$230</c:f>
              <c:strCache>
                <c:ptCount val="1"/>
                <c:pt idx="0">
                  <c:v>Inflationary Increase in Annual Deposit</c:v>
                </c:pt>
              </c:strCache>
            </c:strRef>
          </c:tx>
          <c:val>
            <c:numRef>
              <c:f>'Trial Deposits Engine'!$H$230:$Q$230</c:f>
              <c:numCache>
                <c:formatCode>"$"#,##0</c:formatCode>
                <c:ptCount val="10"/>
                <c:pt idx="0">
                  <c:v>0</c:v>
                </c:pt>
                <c:pt idx="1">
                  <c:v>396.00000000000034</c:v>
                </c:pt>
                <c:pt idx="2">
                  <c:v>1195.92</c:v>
                </c:pt>
                <c:pt idx="3">
                  <c:v>2407.8383999999987</c:v>
                </c:pt>
                <c:pt idx="4">
                  <c:v>4039.9951679999986</c:v>
                </c:pt>
                <c:pt idx="5">
                  <c:v>6100.7950713599985</c:v>
                </c:pt>
                <c:pt idx="6">
                  <c:v>8598.8109727871997</c:v>
                </c:pt>
                <c:pt idx="7">
                  <c:v>11542.787192242944</c:v>
                </c:pt>
                <c:pt idx="8">
                  <c:v>14941.642936087806</c:v>
                </c:pt>
                <c:pt idx="9">
                  <c:v>18804.475794809565</c:v>
                </c:pt>
              </c:numCache>
            </c:numRef>
          </c:val>
          <c:extLst>
            <c:ext xmlns:c16="http://schemas.microsoft.com/office/drawing/2014/chart" uri="{C3380CC4-5D6E-409C-BE32-E72D297353CC}">
              <c16:uniqueId val="{00000003-5C6E-48EB-8AAD-6BF6ED8D93B5}"/>
            </c:ext>
          </c:extLst>
        </c:ser>
        <c:dLbls>
          <c:showLegendKey val="0"/>
          <c:showVal val="0"/>
          <c:showCatName val="0"/>
          <c:showSerName val="0"/>
          <c:showPercent val="0"/>
          <c:showBubbleSize val="0"/>
        </c:dLbls>
        <c:axId val="105555456"/>
        <c:axId val="105557376"/>
      </c:areaChart>
      <c:lineChart>
        <c:grouping val="standard"/>
        <c:varyColors val="0"/>
        <c:ser>
          <c:idx val="0"/>
          <c:order val="4"/>
          <c:tx>
            <c:strRef>
              <c:f>'Trial Deposits Engine'!$G$231</c:f>
              <c:strCache>
                <c:ptCount val="1"/>
                <c:pt idx="0">
                  <c:v>Accumulated Sources</c:v>
                </c:pt>
              </c:strCache>
            </c:strRef>
          </c:tx>
          <c:spPr>
            <a:ln>
              <a:solidFill>
                <a:srgbClr val="C00000"/>
              </a:solidFill>
            </a:ln>
          </c:spPr>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'Trial Deposits Engine'!$H$231:$Q$231</c:f>
              <c:numCache>
                <c:formatCode>"$"#,##0</c:formatCode>
                <c:ptCount val="10"/>
                <c:pt idx="0">
                  <c:v>221800</c:v>
                </c:pt>
                <c:pt idx="1">
                  <c:v>244214</c:v>
                </c:pt>
                <c:pt idx="2">
                  <c:v>268267.39999999997</c:v>
                </c:pt>
                <c:pt idx="3">
                  <c:v>291940.12939999998</c:v>
                </c:pt>
                <c:pt idx="4">
                  <c:v>315655.55810899998</c:v>
                </c:pt>
                <c:pt idx="5">
                  <c:v>339381.946383995</c:v>
                </c:pt>
                <c:pt idx="6">
                  <c:v>363168.81648118212</c:v>
                </c:pt>
                <c:pt idx="7">
                  <c:v>387452.95994785556</c:v>
                </c:pt>
                <c:pt idx="8">
                  <c:v>411892.8400909183</c:v>
                </c:pt>
                <c:pt idx="9">
                  <c:v>436709.62055100384</c:v>
                </c:pt>
              </c:numCache>
            </c:numRef>
          </c:val>
          <c:smooth val="0"/>
          <c:extLst>
            <c:ext xmlns:c16="http://schemas.microsoft.com/office/drawing/2014/chart" uri="{C3380CC4-5D6E-409C-BE32-E72D297353CC}">
              <c16:uniqueId val="{00000004-5C6E-48EB-8AAD-6BF6ED8D93B5}"/>
            </c:ext>
          </c:extLst>
        </c:ser>
        <c:dLbls>
          <c:showLegendKey val="0"/>
          <c:showVal val="0"/>
          <c:showCatName val="0"/>
          <c:showSerName val="0"/>
          <c:showPercent val="0"/>
          <c:showBubbleSize val="0"/>
        </c:dLbls>
        <c:marker val="1"/>
        <c:smooth val="0"/>
        <c:axId val="105555456"/>
        <c:axId val="105557376"/>
      </c:lineChart>
      <c:catAx>
        <c:axId val="105555456"/>
        <c:scaling>
          <c:orientation val="minMax"/>
        </c:scaling>
        <c:delete val="0"/>
        <c:axPos val="b"/>
        <c:title>
          <c:tx>
            <c:rich>
              <a:bodyPr/>
              <a:lstStyle/>
              <a:p>
                <a:pPr>
                  <a:defRPr/>
                </a:pPr>
                <a:r>
                  <a:rPr lang="en-US"/>
                  <a:t>Relative Year</a:t>
                </a:r>
              </a:p>
            </c:rich>
          </c:tx>
          <c:overlay val="0"/>
        </c:title>
        <c:majorTickMark val="out"/>
        <c:minorTickMark val="none"/>
        <c:tickLblPos val="nextTo"/>
        <c:crossAx val="105557376"/>
        <c:crosses val="autoZero"/>
        <c:auto val="1"/>
        <c:lblAlgn val="ctr"/>
        <c:lblOffset val="100"/>
        <c:tickLblSkip val="1"/>
        <c:noMultiLvlLbl val="0"/>
      </c:catAx>
      <c:valAx>
        <c:axId val="105557376"/>
        <c:scaling>
          <c:orientation val="minMax"/>
        </c:scaling>
        <c:delete val="0"/>
        <c:axPos val="l"/>
        <c:majorGridlines/>
        <c:numFmt formatCode="&quot;$&quot;#,##0" sourceLinked="1"/>
        <c:majorTickMark val="out"/>
        <c:minorTickMark val="none"/>
        <c:tickLblPos val="nextTo"/>
        <c:crossAx val="105555456"/>
        <c:crosses val="autoZero"/>
        <c:crossBetween val="between"/>
      </c:valAx>
    </c:plotArea>
    <c:legend>
      <c:legendPos val="r"/>
      <c:layout>
        <c:manualLayout>
          <c:xMode val="edge"/>
          <c:yMode val="edge"/>
          <c:x val="0.14421465273330988"/>
          <c:y val="0.18514192987274006"/>
          <c:w val="0.35117063117889352"/>
          <c:h val="0.2414281270433784"/>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Needs withdrawn</a:t>
            </a:r>
            <a:r>
              <a:rPr lang="en-US" baseline="0"/>
              <a:t> from</a:t>
            </a:r>
            <a:r>
              <a:rPr lang="en-US"/>
              <a:t>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3527792014163911"/>
          <c:y val="0.20230971128608918"/>
          <c:w val="0.78787398347201998"/>
          <c:h val="0.69465612696850432"/>
        </c:manualLayout>
      </c:layout>
      <c:areaChart>
        <c:grouping val="stacked"/>
        <c:varyColors val="0"/>
        <c:ser>
          <c:idx val="1"/>
          <c:order val="0"/>
          <c:tx>
            <c:strRef>
              <c:f>'Trial Deposits Engine'!$G$235</c:f>
              <c:strCache>
                <c:ptCount val="1"/>
                <c:pt idx="0">
                  <c:v>Duration Adjusted Uninflated Needs</c:v>
                </c:pt>
              </c:strCache>
            </c:strRef>
          </c:tx>
          <c:val>
            <c:numRef>
              <c:f>'Trial Deposits Engine'!$H$235:$Q$235</c:f>
              <c:numCache>
                <c:formatCode>"$"#,##0_);[Red]\("$"#,##0\)</c:formatCode>
                <c:ptCount val="10"/>
                <c:pt idx="0">
                  <c:v>0</c:v>
                </c:pt>
                <c:pt idx="1">
                  <c:v>-13707.843137254902</c:v>
                </c:pt>
                <c:pt idx="2">
                  <c:v>-87619.800076893502</c:v>
                </c:pt>
                <c:pt idx="3">
                  <c:v>-133644.70754084026</c:v>
                </c:pt>
                <c:pt idx="4">
                  <c:v>-181279.10155219334</c:v>
                </c:pt>
                <c:pt idx="5">
                  <c:v>-225516.80576590612</c:v>
                </c:pt>
                <c:pt idx="6">
                  <c:v>-243601.2309355101</c:v>
                </c:pt>
                <c:pt idx="7">
                  <c:v>-282103.49595506769</c:v>
                </c:pt>
                <c:pt idx="8">
                  <c:v>-307917.31223171263</c:v>
                </c:pt>
                <c:pt idx="9">
                  <c:v>-333224.9752480312</c:v>
                </c:pt>
              </c:numCache>
            </c:numRef>
          </c:val>
          <c:extLst>
            <c:ext xmlns:c16="http://schemas.microsoft.com/office/drawing/2014/chart" uri="{C3380CC4-5D6E-409C-BE32-E72D297353CC}">
              <c16:uniqueId val="{00000000-15C3-4201-AD60-844F85AD6C46}"/>
            </c:ext>
          </c:extLst>
        </c:ser>
        <c:ser>
          <c:idx val="2"/>
          <c:order val="1"/>
          <c:tx>
            <c:strRef>
              <c:f>'Trial Deposits Engine'!$G$236</c:f>
              <c:strCache>
                <c:ptCount val="1"/>
                <c:pt idx="0">
                  <c:v>Inflation in Needs Amount</c:v>
                </c:pt>
              </c:strCache>
            </c:strRef>
          </c:tx>
          <c:val>
            <c:numRef>
              <c:f>'Trial Deposits Engine'!$H$236:$Q$236</c:f>
              <c:numCache>
                <c:formatCode>"$"#,##0_);[Red]\("$"#,##0\)</c:formatCode>
                <c:ptCount val="10"/>
                <c:pt idx="0">
                  <c:v>0</c:v>
                </c:pt>
                <c:pt idx="1">
                  <c:v>-274.15686274509829</c:v>
                </c:pt>
                <c:pt idx="2">
                  <c:v>-3260.1999231064974</c:v>
                </c:pt>
                <c:pt idx="3">
                  <c:v>-6077.2924591597475</c:v>
                </c:pt>
                <c:pt idx="4">
                  <c:v>-10003.898447806647</c:v>
                </c:pt>
                <c:pt idx="5">
                  <c:v>-14608.194234093895</c:v>
                </c:pt>
                <c:pt idx="6">
                  <c:v>-16889.769064489908</c:v>
                </c:pt>
                <c:pt idx="7">
                  <c:v>-22614.504044932346</c:v>
                </c:pt>
                <c:pt idx="8">
                  <c:v>-27045.687768287426</c:v>
                </c:pt>
                <c:pt idx="9">
                  <c:v>-31983.024751968875</c:v>
                </c:pt>
              </c:numCache>
            </c:numRef>
          </c:val>
          <c:extLst>
            <c:ext xmlns:c16="http://schemas.microsoft.com/office/drawing/2014/chart" uri="{C3380CC4-5D6E-409C-BE32-E72D297353CC}">
              <c16:uniqueId val="{00000001-15C3-4201-AD60-844F85AD6C46}"/>
            </c:ext>
          </c:extLst>
        </c:ser>
        <c:dLbls>
          <c:showLegendKey val="0"/>
          <c:showVal val="0"/>
          <c:showCatName val="0"/>
          <c:showSerName val="0"/>
          <c:showPercent val="0"/>
          <c:showBubbleSize val="0"/>
        </c:dLbls>
        <c:axId val="92436736"/>
        <c:axId val="92443008"/>
      </c:areaChart>
      <c:lineChart>
        <c:grouping val="stacked"/>
        <c:varyColors val="0"/>
        <c:ser>
          <c:idx val="0"/>
          <c:order val="2"/>
          <c:tx>
            <c:strRef>
              <c:f>'Trial Deposits Engine'!$G$237</c:f>
              <c:strCache>
                <c:ptCount val="1"/>
                <c:pt idx="0">
                  <c:v>Accumulated Uses</c:v>
                </c:pt>
              </c:strCache>
            </c:strRef>
          </c:tx>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'Trial Deposits Engine'!$H$237:$Q$237</c:f>
              <c:numCache>
                <c:formatCode>"$"#,##0</c:formatCode>
                <c:ptCount val="10"/>
                <c:pt idx="0">
                  <c:v>0</c:v>
                </c:pt>
                <c:pt idx="1">
                  <c:v>-13982</c:v>
                </c:pt>
                <c:pt idx="2">
                  <c:v>-90880</c:v>
                </c:pt>
                <c:pt idx="3">
                  <c:v>-139722</c:v>
                </c:pt>
                <c:pt idx="4">
                  <c:v>-191283</c:v>
                </c:pt>
                <c:pt idx="5">
                  <c:v>-240125</c:v>
                </c:pt>
                <c:pt idx="6">
                  <c:v>-260491</c:v>
                </c:pt>
                <c:pt idx="7">
                  <c:v>-304718.00000000006</c:v>
                </c:pt>
                <c:pt idx="8">
                  <c:v>-334963.00000000006</c:v>
                </c:pt>
                <c:pt idx="9">
                  <c:v>-365208.00000000006</c:v>
                </c:pt>
              </c:numCache>
            </c:numRef>
          </c:val>
          <c:smooth val="0"/>
          <c:extLst>
            <c:ext xmlns:c16="http://schemas.microsoft.com/office/drawing/2014/chart" uri="{C3380CC4-5D6E-409C-BE32-E72D297353CC}">
              <c16:uniqueId val="{00000002-15C3-4201-AD60-844F85AD6C46}"/>
            </c:ext>
          </c:extLst>
        </c:ser>
        <c:ser>
          <c:idx val="3"/>
          <c:order val="3"/>
          <c:tx>
            <c:strRef>
              <c:f>'Trial Deposits Engine'!$G$238</c:f>
              <c:strCache>
                <c:ptCount val="1"/>
                <c:pt idx="0">
                  <c:v>Note: Gap between highest cumulative R4R Sources and Needs to equalize graphs scales</c:v>
                </c:pt>
              </c:strCache>
            </c:strRef>
          </c:tx>
          <c:spPr>
            <a:ln>
              <a:noFill/>
            </a:ln>
          </c:spPr>
          <c:marker>
            <c:symbol val="none"/>
          </c:marker>
          <c:dPt>
            <c:idx val="9"/>
            <c:marker>
              <c:symbol val="auto"/>
              <c:spPr>
                <a:solidFill>
                  <a:schemeClr val="accent3">
                    <a:lumMod val="40000"/>
                    <a:lumOff val="60000"/>
                  </a:schemeClr>
                </a:solidFill>
              </c:spPr>
            </c:marker>
            <c:bubble3D val="0"/>
            <c:extLst>
              <c:ext xmlns:c16="http://schemas.microsoft.com/office/drawing/2014/chart" uri="{C3380CC4-5D6E-409C-BE32-E72D297353CC}">
                <c16:uniqueId val="{00000003-15C3-4201-AD60-844F85AD6C46}"/>
              </c:ext>
            </c:extLst>
          </c:dPt>
          <c:dLbls>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5C3-4201-AD60-844F85AD6C46}"/>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val>
            <c:numRef>
              <c:f>'Trial Deposits Engine'!$H$238:$Q$238</c:f>
              <c:numCache>
                <c:formatCode>General</c:formatCode>
                <c:ptCount val="10"/>
                <c:pt idx="9" formatCode="&quot;$&quot;#,##0">
                  <c:v>436709.62055100384</c:v>
                </c:pt>
              </c:numCache>
            </c:numRef>
          </c:val>
          <c:smooth val="0"/>
          <c:extLst>
            <c:ext xmlns:c16="http://schemas.microsoft.com/office/drawing/2014/chart" uri="{C3380CC4-5D6E-409C-BE32-E72D297353CC}">
              <c16:uniqueId val="{00000004-15C3-4201-AD60-844F85AD6C46}"/>
            </c:ext>
          </c:extLst>
        </c:ser>
        <c:dLbls>
          <c:showLegendKey val="0"/>
          <c:showVal val="0"/>
          <c:showCatName val="0"/>
          <c:showSerName val="0"/>
          <c:showPercent val="0"/>
          <c:showBubbleSize val="0"/>
        </c:dLbls>
        <c:marker val="1"/>
        <c:smooth val="0"/>
        <c:axId val="92436736"/>
        <c:axId val="92443008"/>
      </c:lineChart>
      <c:catAx>
        <c:axId val="92436736"/>
        <c:scaling>
          <c:orientation val="minMax"/>
        </c:scaling>
        <c:delete val="0"/>
        <c:axPos val="b"/>
        <c:title>
          <c:tx>
            <c:rich>
              <a:bodyPr/>
              <a:lstStyle/>
              <a:p>
                <a:pPr>
                  <a:defRPr/>
                </a:pPr>
                <a:r>
                  <a:rPr lang="en-US"/>
                  <a:t>Relative Year</a:t>
                </a:r>
              </a:p>
            </c:rich>
          </c:tx>
          <c:overlay val="0"/>
        </c:title>
        <c:majorTickMark val="out"/>
        <c:minorTickMark val="none"/>
        <c:tickLblPos val="nextTo"/>
        <c:crossAx val="92443008"/>
        <c:crosses val="autoZero"/>
        <c:auto val="1"/>
        <c:lblAlgn val="ctr"/>
        <c:lblOffset val="100"/>
        <c:tickLblSkip val="1"/>
        <c:noMultiLvlLbl val="0"/>
      </c:catAx>
      <c:valAx>
        <c:axId val="92443008"/>
        <c:scaling>
          <c:orientation val="minMax"/>
        </c:scaling>
        <c:delete val="0"/>
        <c:axPos val="l"/>
        <c:majorGridlines/>
        <c:numFmt formatCode="&quot;$&quot;#,##0_);[Red]\(&quot;$&quot;#,##0\)" sourceLinked="1"/>
        <c:majorTickMark val="out"/>
        <c:minorTickMark val="none"/>
        <c:tickLblPos val="nextTo"/>
        <c:crossAx val="92436736"/>
        <c:crosses val="autoZero"/>
        <c:crossBetween val="between"/>
      </c:valAx>
    </c:plotArea>
    <c:legend>
      <c:legendPos val="r"/>
      <c:layout>
        <c:manualLayout>
          <c:xMode val="edge"/>
          <c:yMode val="edge"/>
          <c:x val="0.15071233606639101"/>
          <c:y val="0.23441108923884521"/>
          <c:w val="0.43577913740030239"/>
          <c:h val="0.30467437664042024"/>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Sources Funding</a:t>
            </a:r>
            <a:r>
              <a:rPr lang="en-US" baseline="0"/>
              <a:t> the Reserve for Replacements and Cumulative</a:t>
            </a:r>
            <a:r>
              <a:rPr lang="en-US"/>
              <a:t> Needs withdrawn</a:t>
            </a:r>
            <a:r>
              <a:rPr lang="en-US" baseline="0"/>
              <a:t> from</a:t>
            </a:r>
            <a:r>
              <a:rPr lang="en-US"/>
              <a:t> the Reserve for Replacements</a:t>
            </a:r>
          </a:p>
        </c:rich>
      </c:tx>
      <c:layout>
        <c:manualLayout>
          <c:xMode val="edge"/>
          <c:yMode val="edge"/>
          <c:x val="0.13630010283802244"/>
          <c:y val="5.0314465408805034E-2"/>
        </c:manualLayout>
      </c:layout>
      <c:overlay val="1"/>
    </c:title>
    <c:autoTitleDeleted val="0"/>
    <c:plotArea>
      <c:layout>
        <c:manualLayout>
          <c:layoutTarget val="inner"/>
          <c:xMode val="edge"/>
          <c:yMode val="edge"/>
          <c:x val="0.12732030397026819"/>
          <c:y val="0.18143082991819004"/>
          <c:w val="0.80872345502266751"/>
          <c:h val="0.6972389270054693"/>
        </c:manualLayout>
      </c:layout>
      <c:lineChart>
        <c:grouping val="standard"/>
        <c:varyColors val="0"/>
        <c:ser>
          <c:idx val="1"/>
          <c:order val="0"/>
          <c:tx>
            <c:strRef>
              <c:f>'Trial Deposits Engine'!$G$231</c:f>
              <c:strCache>
                <c:ptCount val="1"/>
                <c:pt idx="0">
                  <c:v>Accumulated Sources</c:v>
                </c:pt>
              </c:strCache>
            </c:strRef>
          </c:tx>
          <c:marker>
            <c:symbol val="none"/>
          </c:marker>
          <c:dLbls>
            <c:spPr>
              <a:solidFill>
                <a:schemeClr val="accent6">
                  <a:lumMod val="40000"/>
                  <a:lumOff val="60000"/>
                </a:schemeClr>
              </a:solidFill>
              <a:ln>
                <a:solidFill>
                  <a:schemeClr val="tx1"/>
                </a:solidFill>
              </a:ln>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'Trial Deposits Engine'!$H$240:$Q$240</c:f>
              <c:numCache>
                <c:formatCode>"$"#,##0</c:formatCode>
                <c:ptCount val="10"/>
                <c:pt idx="0">
                  <c:v>221800</c:v>
                </c:pt>
                <c:pt idx="1">
                  <c:v>230232</c:v>
                </c:pt>
                <c:pt idx="2">
                  <c:v>177387.39999999997</c:v>
                </c:pt>
                <c:pt idx="3">
                  <c:v>152218.12939999998</c:v>
                </c:pt>
                <c:pt idx="4">
                  <c:v>124372.55810899998</c:v>
                </c:pt>
                <c:pt idx="5">
                  <c:v>99256.946383995004</c:v>
                </c:pt>
                <c:pt idx="6">
                  <c:v>102677.81648118212</c:v>
                </c:pt>
                <c:pt idx="7">
                  <c:v>82734.959947855503</c:v>
                </c:pt>
                <c:pt idx="8">
                  <c:v>76929.840090918238</c:v>
                </c:pt>
                <c:pt idx="9">
                  <c:v>71501.620551003783</c:v>
                </c:pt>
              </c:numCache>
            </c:numRef>
          </c:cat>
          <c:val>
            <c:numRef>
              <c:f>'Trial Deposits Engine'!$H$231:$Q$231</c:f>
              <c:numCache>
                <c:formatCode>"$"#,##0</c:formatCode>
                <c:ptCount val="10"/>
                <c:pt idx="0">
                  <c:v>221800</c:v>
                </c:pt>
                <c:pt idx="1">
                  <c:v>244214</c:v>
                </c:pt>
                <c:pt idx="2">
                  <c:v>268267.39999999997</c:v>
                </c:pt>
                <c:pt idx="3">
                  <c:v>291940.12939999998</c:v>
                </c:pt>
                <c:pt idx="4">
                  <c:v>315655.55810899998</c:v>
                </c:pt>
                <c:pt idx="5">
                  <c:v>339381.946383995</c:v>
                </c:pt>
                <c:pt idx="6">
                  <c:v>363168.81648118212</c:v>
                </c:pt>
                <c:pt idx="7">
                  <c:v>387452.95994785556</c:v>
                </c:pt>
                <c:pt idx="8">
                  <c:v>411892.8400909183</c:v>
                </c:pt>
                <c:pt idx="9">
                  <c:v>436709.62055100384</c:v>
                </c:pt>
              </c:numCache>
            </c:numRef>
          </c:val>
          <c:smooth val="0"/>
          <c:extLst>
            <c:ext xmlns:c16="http://schemas.microsoft.com/office/drawing/2014/chart" uri="{C3380CC4-5D6E-409C-BE32-E72D297353CC}">
              <c16:uniqueId val="{00000000-DE30-4367-9273-46895898FC94}"/>
            </c:ext>
          </c:extLst>
        </c:ser>
        <c:ser>
          <c:idx val="2"/>
          <c:order val="1"/>
          <c:tx>
            <c:strRef>
              <c:f>'Trial Deposits Engine'!$G$240</c:f>
              <c:strCache>
                <c:ptCount val="1"/>
                <c:pt idx="0">
                  <c:v>Accumulated Gap</c:v>
                </c:pt>
              </c:strCache>
            </c:strRef>
          </c:tx>
          <c:marker>
            <c:symbol val="none"/>
          </c:marker>
          <c:dLbls>
            <c:spPr>
              <a:solidFill>
                <a:schemeClr val="accent3">
                  <a:lumMod val="40000"/>
                  <a:lumOff val="60000"/>
                </a:schemeClr>
              </a:solidFill>
              <a:ln>
                <a:solidFill>
                  <a:schemeClr val="tx1"/>
                </a:solidFill>
              </a:ln>
            </c:spPr>
            <c:txPr>
              <a:bodyPr/>
              <a:lstStyle/>
              <a:p>
                <a:pPr>
                  <a:defRPr sz="800"/>
                </a:pPr>
                <a:endParaRPr lang="en-US"/>
              </a:p>
            </c:txPr>
            <c:dLblPos val="ctr"/>
            <c:showLegendKey val="0"/>
            <c:showVal val="0"/>
            <c:showCatName val="1"/>
            <c:showSerName val="1"/>
            <c:showPercent val="0"/>
            <c:showBubbleSize val="0"/>
            <c:separator>
</c:separator>
            <c:showLeaderLines val="0"/>
            <c:extLst>
              <c:ext xmlns:c15="http://schemas.microsoft.com/office/drawing/2012/chart" uri="{CE6537A1-D6FC-4f65-9D91-7224C49458BB}">
                <c15:showLeaderLines val="0"/>
              </c:ext>
            </c:extLst>
          </c:dLbls>
          <c:cat>
            <c:numRef>
              <c:f>'Trial Deposits Engine'!$H$240:$Q$240</c:f>
              <c:numCache>
                <c:formatCode>"$"#,##0</c:formatCode>
                <c:ptCount val="10"/>
                <c:pt idx="0">
                  <c:v>221800</c:v>
                </c:pt>
                <c:pt idx="1">
                  <c:v>230232</c:v>
                </c:pt>
                <c:pt idx="2">
                  <c:v>177387.39999999997</c:v>
                </c:pt>
                <c:pt idx="3">
                  <c:v>152218.12939999998</c:v>
                </c:pt>
                <c:pt idx="4">
                  <c:v>124372.55810899998</c:v>
                </c:pt>
                <c:pt idx="5">
                  <c:v>99256.946383995004</c:v>
                </c:pt>
                <c:pt idx="6">
                  <c:v>102677.81648118212</c:v>
                </c:pt>
                <c:pt idx="7">
                  <c:v>82734.959947855503</c:v>
                </c:pt>
                <c:pt idx="8">
                  <c:v>76929.840090918238</c:v>
                </c:pt>
                <c:pt idx="9">
                  <c:v>71501.620551003783</c:v>
                </c:pt>
              </c:numCache>
            </c:numRef>
          </c:cat>
          <c:val>
            <c:numRef>
              <c:f>'Trial Deposits Engine'!$H$241:$Q$241</c:f>
              <c:numCache>
                <c:formatCode>"$"#,##0</c:formatCode>
                <c:ptCount val="10"/>
                <c:pt idx="0" formatCode="General">
                  <c:v>110900</c:v>
                </c:pt>
                <c:pt idx="1">
                  <c:v>115116</c:v>
                </c:pt>
                <c:pt idx="2">
                  <c:v>88693.699999999983</c:v>
                </c:pt>
                <c:pt idx="3">
                  <c:v>76109.064699999988</c:v>
                </c:pt>
                <c:pt idx="4">
                  <c:v>62186.279054499988</c:v>
                </c:pt>
                <c:pt idx="5">
                  <c:v>49628.473191997502</c:v>
                </c:pt>
                <c:pt idx="6">
                  <c:v>51338.908240591059</c:v>
                </c:pt>
                <c:pt idx="7">
                  <c:v>41367.479973927751</c:v>
                </c:pt>
                <c:pt idx="8">
                  <c:v>38464.920045459119</c:v>
                </c:pt>
                <c:pt idx="9">
                  <c:v>35750.810275501892</c:v>
                </c:pt>
              </c:numCache>
            </c:numRef>
          </c:val>
          <c:smooth val="0"/>
          <c:extLst>
            <c:ext xmlns:c16="http://schemas.microsoft.com/office/drawing/2014/chart" uri="{C3380CC4-5D6E-409C-BE32-E72D297353CC}">
              <c16:uniqueId val="{00000001-DE30-4367-9273-46895898FC94}"/>
            </c:ext>
          </c:extLst>
        </c:ser>
        <c:ser>
          <c:idx val="0"/>
          <c:order val="2"/>
          <c:tx>
            <c:strRef>
              <c:f>'Trial Deposits Engine'!$G$237</c:f>
              <c:strCache>
                <c:ptCount val="1"/>
                <c:pt idx="0">
                  <c:v>Accumulated Uses</c:v>
                </c:pt>
              </c:strCache>
            </c:strRef>
          </c:tx>
          <c:marker>
            <c:symbol val="none"/>
          </c:marker>
          <c:dLbls>
            <c:spPr>
              <a:solidFill>
                <a:schemeClr val="accent6">
                  <a:lumMod val="40000"/>
                  <a:lumOff val="60000"/>
                </a:schemeClr>
              </a:solidFill>
              <a:ln>
                <a:solidFill>
                  <a:schemeClr val="tx1"/>
                </a:solidFill>
              </a:ln>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'Trial Deposits Engine'!$H$240:$Q$240</c:f>
              <c:numCache>
                <c:formatCode>"$"#,##0</c:formatCode>
                <c:ptCount val="10"/>
                <c:pt idx="0">
                  <c:v>221800</c:v>
                </c:pt>
                <c:pt idx="1">
                  <c:v>230232</c:v>
                </c:pt>
                <c:pt idx="2">
                  <c:v>177387.39999999997</c:v>
                </c:pt>
                <c:pt idx="3">
                  <c:v>152218.12939999998</c:v>
                </c:pt>
                <c:pt idx="4">
                  <c:v>124372.55810899998</c:v>
                </c:pt>
                <c:pt idx="5">
                  <c:v>99256.946383995004</c:v>
                </c:pt>
                <c:pt idx="6">
                  <c:v>102677.81648118212</c:v>
                </c:pt>
                <c:pt idx="7">
                  <c:v>82734.959947855503</c:v>
                </c:pt>
                <c:pt idx="8">
                  <c:v>76929.840090918238</c:v>
                </c:pt>
                <c:pt idx="9">
                  <c:v>71501.620551003783</c:v>
                </c:pt>
              </c:numCache>
            </c:numRef>
          </c:cat>
          <c:val>
            <c:numRef>
              <c:f>'Trial Deposits Engine'!$H$237:$Q$237</c:f>
              <c:numCache>
                <c:formatCode>"$"#,##0</c:formatCode>
                <c:ptCount val="10"/>
                <c:pt idx="0">
                  <c:v>0</c:v>
                </c:pt>
                <c:pt idx="1">
                  <c:v>-13982</c:v>
                </c:pt>
                <c:pt idx="2">
                  <c:v>-90880</c:v>
                </c:pt>
                <c:pt idx="3">
                  <c:v>-139722</c:v>
                </c:pt>
                <c:pt idx="4">
                  <c:v>-191283</c:v>
                </c:pt>
                <c:pt idx="5">
                  <c:v>-240125</c:v>
                </c:pt>
                <c:pt idx="6">
                  <c:v>-260491</c:v>
                </c:pt>
                <c:pt idx="7">
                  <c:v>-304718.00000000006</c:v>
                </c:pt>
                <c:pt idx="8">
                  <c:v>-334963.00000000006</c:v>
                </c:pt>
                <c:pt idx="9">
                  <c:v>-365208.00000000006</c:v>
                </c:pt>
              </c:numCache>
            </c:numRef>
          </c:val>
          <c:smooth val="0"/>
          <c:extLst>
            <c:ext xmlns:c16="http://schemas.microsoft.com/office/drawing/2014/chart" uri="{C3380CC4-5D6E-409C-BE32-E72D297353CC}">
              <c16:uniqueId val="{00000002-DE30-4367-9273-46895898FC94}"/>
            </c:ext>
          </c:extLst>
        </c:ser>
        <c:dLbls>
          <c:showLegendKey val="0"/>
          <c:showVal val="0"/>
          <c:showCatName val="0"/>
          <c:showSerName val="0"/>
          <c:showPercent val="0"/>
          <c:showBubbleSize val="0"/>
        </c:dLbls>
        <c:smooth val="0"/>
        <c:axId val="105730432"/>
        <c:axId val="105732352"/>
      </c:lineChart>
      <c:catAx>
        <c:axId val="105730432"/>
        <c:scaling>
          <c:orientation val="minMax"/>
        </c:scaling>
        <c:delete val="0"/>
        <c:axPos val="b"/>
        <c:majorGridlines/>
        <c:title>
          <c:tx>
            <c:rich>
              <a:bodyPr/>
              <a:lstStyle/>
              <a:p>
                <a:pPr>
                  <a:defRPr/>
                </a:pPr>
                <a:r>
                  <a:rPr lang="en-US"/>
                  <a:t>Relative Year</a:t>
                </a:r>
              </a:p>
            </c:rich>
          </c:tx>
          <c:overlay val="0"/>
        </c:title>
        <c:numFmt formatCode="&quot;$&quot;#,##0" sourceLinked="1"/>
        <c:majorTickMark val="cross"/>
        <c:minorTickMark val="none"/>
        <c:tickLblPos val="none"/>
        <c:crossAx val="105732352"/>
        <c:crosses val="autoZero"/>
        <c:auto val="1"/>
        <c:lblAlgn val="ctr"/>
        <c:lblOffset val="100"/>
        <c:tickLblSkip val="1"/>
        <c:noMultiLvlLbl val="0"/>
      </c:catAx>
      <c:valAx>
        <c:axId val="105732352"/>
        <c:scaling>
          <c:orientation val="minMax"/>
        </c:scaling>
        <c:delete val="0"/>
        <c:axPos val="l"/>
        <c:majorGridlines/>
        <c:numFmt formatCode="&quot;$&quot;#,##0" sourceLinked="1"/>
        <c:majorTickMark val="out"/>
        <c:minorTickMark val="none"/>
        <c:tickLblPos val="nextTo"/>
        <c:crossAx val="105730432"/>
        <c:crosses val="autoZero"/>
        <c:crossBetween val="between"/>
      </c:valAx>
    </c:plotArea>
    <c:legend>
      <c:legendPos val="r"/>
      <c:layout>
        <c:manualLayout>
          <c:xMode val="edge"/>
          <c:yMode val="edge"/>
          <c:x val="0.18448306242421464"/>
          <c:y val="0.34639024324360851"/>
          <c:w val="0.20768763037747232"/>
          <c:h val="0.14044981270545079"/>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Reserve Balances</a:t>
            </a:r>
            <a:r>
              <a:rPr lang="en-US" baseline="0"/>
              <a:t> and the 10-year average inflated minimum requirement</a:t>
            </a:r>
            <a:endParaRPr lang="en-US"/>
          </a:p>
        </c:rich>
      </c:tx>
      <c:layout>
        <c:manualLayout>
          <c:xMode val="edge"/>
          <c:yMode val="edge"/>
          <c:x val="0.13341805516627958"/>
          <c:y val="6.7476383265856948E-2"/>
        </c:manualLayout>
      </c:layout>
      <c:overlay val="1"/>
    </c:title>
    <c:autoTitleDeleted val="0"/>
    <c:plotArea>
      <c:layout>
        <c:manualLayout>
          <c:layoutTarget val="inner"/>
          <c:xMode val="edge"/>
          <c:yMode val="edge"/>
          <c:x val="0.12752471158496492"/>
          <c:y val="0.26862009595739328"/>
          <c:w val="0.81055650652364108"/>
          <c:h val="0.63399738298018915"/>
        </c:manualLayout>
      </c:layout>
      <c:lineChart>
        <c:grouping val="standard"/>
        <c:varyColors val="0"/>
        <c:ser>
          <c:idx val="0"/>
          <c:order val="0"/>
          <c:tx>
            <c:strRef>
              <c:f>'Trial Deposits Engine'!$G$246</c:f>
              <c:strCache>
                <c:ptCount val="1"/>
                <c:pt idx="0">
                  <c:v>Ending RfR Balance</c:v>
                </c:pt>
              </c:strCache>
            </c:strRef>
          </c:tx>
          <c:marker>
            <c:symbol val="none"/>
          </c:marker>
          <c:cat>
            <c:numRef>
              <c:f>'Trial Deposits Engine'!$H$245:$Q$245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Engine'!$H$246:$Q$246</c:f>
              <c:numCache>
                <c:formatCode>"$"#,##0.00_);[Red]\("$"#,##0.00\)</c:formatCode>
                <c:ptCount val="10"/>
                <c:pt idx="0">
                  <c:v>221800</c:v>
                </c:pt>
                <c:pt idx="1">
                  <c:v>230232</c:v>
                </c:pt>
                <c:pt idx="2">
                  <c:v>177387.4</c:v>
                </c:pt>
                <c:pt idx="3">
                  <c:v>152218.12939999998</c:v>
                </c:pt>
                <c:pt idx="4">
                  <c:v>124372.55810899998</c:v>
                </c:pt>
                <c:pt idx="5">
                  <c:v>99256.946383994975</c:v>
                </c:pt>
                <c:pt idx="6">
                  <c:v>102677.81648118209</c:v>
                </c:pt>
                <c:pt idx="7">
                  <c:v>82734.959947855561</c:v>
                </c:pt>
                <c:pt idx="8">
                  <c:v>76929.840090918253</c:v>
                </c:pt>
                <c:pt idx="9">
                  <c:v>71501.620551003783</c:v>
                </c:pt>
              </c:numCache>
            </c:numRef>
          </c:val>
          <c:smooth val="0"/>
          <c:extLst>
            <c:ext xmlns:c16="http://schemas.microsoft.com/office/drawing/2014/chart" uri="{C3380CC4-5D6E-409C-BE32-E72D297353CC}">
              <c16:uniqueId val="{00000000-2D5F-447A-8B3F-E039631FFED2}"/>
            </c:ext>
          </c:extLst>
        </c:ser>
        <c:ser>
          <c:idx val="1"/>
          <c:order val="1"/>
          <c:tx>
            <c:strRef>
              <c:f>'Trial Deposits Engine'!$G$247</c:f>
              <c:strCache>
                <c:ptCount val="1"/>
                <c:pt idx="0">
                  <c:v>20 year equal to eTool (NOT 10 Yr) Minimum Balance-inflated</c:v>
                </c:pt>
              </c:strCache>
            </c:strRef>
          </c:tx>
          <c:marker>
            <c:symbol val="none"/>
          </c:marker>
          <c:cat>
            <c:numRef>
              <c:f>'Trial Deposits Engine'!$H$245:$Q$245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Engine'!$H$247:$Q$247</c:f>
              <c:numCache>
                <c:formatCode>"$"#,##0.00</c:formatCode>
                <c:ptCount val="10"/>
                <c:pt idx="0">
                  <c:v>-33322.497524803119</c:v>
                </c:pt>
                <c:pt idx="1">
                  <c:v>-33322.497524803119</c:v>
                </c:pt>
                <c:pt idx="2">
                  <c:v>-33322.497524803119</c:v>
                </c:pt>
                <c:pt idx="3">
                  <c:v>-33322.497524803119</c:v>
                </c:pt>
                <c:pt idx="4">
                  <c:v>-33322.497524803119</c:v>
                </c:pt>
                <c:pt idx="5">
                  <c:v>-33322.497524803119</c:v>
                </c:pt>
                <c:pt idx="6">
                  <c:v>-33322.497524803119</c:v>
                </c:pt>
                <c:pt idx="7">
                  <c:v>-33322.497524803119</c:v>
                </c:pt>
                <c:pt idx="8">
                  <c:v>-33322.497524803119</c:v>
                </c:pt>
                <c:pt idx="9">
                  <c:v>-33322.497524803119</c:v>
                </c:pt>
              </c:numCache>
            </c:numRef>
          </c:val>
          <c:smooth val="0"/>
          <c:extLst>
            <c:ext xmlns:c16="http://schemas.microsoft.com/office/drawing/2014/chart" uri="{C3380CC4-5D6E-409C-BE32-E72D297353CC}">
              <c16:uniqueId val="{00000001-2D5F-447A-8B3F-E039631FFED2}"/>
            </c:ext>
          </c:extLst>
        </c:ser>
        <c:ser>
          <c:idx val="2"/>
          <c:order val="2"/>
          <c:tx>
            <c:strRef>
              <c:f>'Trial Deposits Engine'!$G$248</c:f>
              <c:strCache>
                <c:ptCount val="1"/>
                <c:pt idx="0">
                  <c:v>Margin exceeding Minimum Balance</c:v>
                </c:pt>
              </c:strCache>
            </c:strRef>
          </c:tx>
          <c:marker>
            <c:symbol val="none"/>
          </c:marker>
          <c:cat>
            <c:numRef>
              <c:f>'Trial Deposits Engine'!$H$245:$Q$245</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'Trial Deposits Engine'!$H$248:$Q$248</c:f>
              <c:numCache>
                <c:formatCode>"$"#,##0.00</c:formatCode>
                <c:ptCount val="10"/>
                <c:pt idx="0">
                  <c:v>255122.49752480313</c:v>
                </c:pt>
                <c:pt idx="1">
                  <c:v>263554.4975248031</c:v>
                </c:pt>
                <c:pt idx="2">
                  <c:v>210709.89752480312</c:v>
                </c:pt>
                <c:pt idx="3">
                  <c:v>185540.6269248031</c:v>
                </c:pt>
                <c:pt idx="4">
                  <c:v>157695.0556338031</c:v>
                </c:pt>
                <c:pt idx="5">
                  <c:v>132579.4439087981</c:v>
                </c:pt>
                <c:pt idx="6">
                  <c:v>136000.31400598522</c:v>
                </c:pt>
                <c:pt idx="7">
                  <c:v>116057.45747265869</c:v>
                </c:pt>
                <c:pt idx="8">
                  <c:v>110252.33761572136</c:v>
                </c:pt>
                <c:pt idx="9">
                  <c:v>104824.11807580691</c:v>
                </c:pt>
              </c:numCache>
            </c:numRef>
          </c:val>
          <c:smooth val="0"/>
          <c:extLst>
            <c:ext xmlns:c16="http://schemas.microsoft.com/office/drawing/2014/chart" uri="{C3380CC4-5D6E-409C-BE32-E72D297353CC}">
              <c16:uniqueId val="{00000002-2D5F-447A-8B3F-E039631FFED2}"/>
            </c:ext>
          </c:extLst>
        </c:ser>
        <c:dLbls>
          <c:showLegendKey val="0"/>
          <c:showVal val="0"/>
          <c:showCatName val="0"/>
          <c:showSerName val="0"/>
          <c:showPercent val="0"/>
          <c:showBubbleSize val="0"/>
        </c:dLbls>
        <c:smooth val="0"/>
        <c:axId val="105747584"/>
        <c:axId val="105749504"/>
      </c:lineChart>
      <c:catAx>
        <c:axId val="105747584"/>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105749504"/>
        <c:crosses val="autoZero"/>
        <c:auto val="1"/>
        <c:lblAlgn val="ctr"/>
        <c:lblOffset val="100"/>
        <c:noMultiLvlLbl val="0"/>
      </c:catAx>
      <c:valAx>
        <c:axId val="105749504"/>
        <c:scaling>
          <c:orientation val="minMax"/>
        </c:scaling>
        <c:delete val="0"/>
        <c:axPos val="l"/>
        <c:majorGridlines/>
        <c:numFmt formatCode="&quot;$&quot;#,##0.00_);[Red]\(&quot;$&quot;#,##0.00\)" sourceLinked="1"/>
        <c:majorTickMark val="out"/>
        <c:minorTickMark val="none"/>
        <c:tickLblPos val="nextTo"/>
        <c:crossAx val="105747584"/>
        <c:crosses val="autoZero"/>
        <c:crossBetween val="between"/>
      </c:valAx>
    </c:plotArea>
    <c:legend>
      <c:legendPos val="r"/>
      <c:layout>
        <c:manualLayout>
          <c:xMode val="edge"/>
          <c:yMode val="edge"/>
          <c:x val="0.18189074191812979"/>
          <c:y val="0.32442811995439397"/>
          <c:w val="0.31016739166345497"/>
          <c:h val="0.2506855410386723"/>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Reserve Balances</a:t>
            </a:r>
            <a:r>
              <a:rPr lang="en-US" baseline="0"/>
              <a:t> and the 20-year average inflated minimum requirement</a:t>
            </a:r>
            <a:endParaRPr lang="en-US"/>
          </a:p>
        </c:rich>
      </c:tx>
      <c:layout>
        <c:manualLayout>
          <c:xMode val="edge"/>
          <c:yMode val="edge"/>
          <c:x val="0.13341805516627958"/>
          <c:y val="6.7476383265856948E-2"/>
        </c:manualLayout>
      </c:layout>
      <c:overlay val="1"/>
    </c:title>
    <c:autoTitleDeleted val="0"/>
    <c:plotArea>
      <c:layout>
        <c:manualLayout>
          <c:layoutTarget val="inner"/>
          <c:xMode val="edge"/>
          <c:yMode val="edge"/>
          <c:x val="0.12752471158496492"/>
          <c:y val="0.26862009595739328"/>
          <c:w val="0.81055650652364108"/>
          <c:h val="0.63399738298018915"/>
        </c:manualLayout>
      </c:layout>
      <c:lineChart>
        <c:grouping val="standard"/>
        <c:varyColors val="0"/>
        <c:ser>
          <c:idx val="0"/>
          <c:order val="0"/>
          <c:tx>
            <c:strRef>
              <c:f>'Trial Deposits Engine'!$G$251</c:f>
              <c:strCache>
                <c:ptCount val="1"/>
                <c:pt idx="0">
                  <c:v>Year of Deposit or Withdraw</c:v>
                </c:pt>
              </c:strCache>
            </c:strRef>
          </c:tx>
          <c:marker>
            <c:symbol val="none"/>
          </c:marker>
          <c:val>
            <c:numRef>
              <c:f>'Trial Deposits Engine'!$H$251:$AA$251</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val>
          <c:smooth val="0"/>
          <c:extLst>
            <c:ext xmlns:c16="http://schemas.microsoft.com/office/drawing/2014/chart" uri="{C3380CC4-5D6E-409C-BE32-E72D297353CC}">
              <c16:uniqueId val="{00000000-1E26-4E23-8BFF-45EBB53884CE}"/>
            </c:ext>
          </c:extLst>
        </c:ser>
        <c:ser>
          <c:idx val="1"/>
          <c:order val="1"/>
          <c:tx>
            <c:strRef>
              <c:f>'Trial Deposits Engine'!$G$252</c:f>
              <c:strCache>
                <c:ptCount val="1"/>
                <c:pt idx="0">
                  <c:v>Ending RfR Balance</c:v>
                </c:pt>
              </c:strCache>
            </c:strRef>
          </c:tx>
          <c:marker>
            <c:symbol val="none"/>
          </c:marker>
          <c:val>
            <c:numRef>
              <c:f>'Trial Deposits Engine'!$H$252:$AA$252</c:f>
              <c:numCache>
                <c:formatCode>"$"#,##0.00_);[Red]\("$"#,##0.00\)</c:formatCode>
                <c:ptCount val="20"/>
                <c:pt idx="0">
                  <c:v>221800</c:v>
                </c:pt>
                <c:pt idx="1">
                  <c:v>230232</c:v>
                </c:pt>
                <c:pt idx="2">
                  <c:v>177387.4</c:v>
                </c:pt>
                <c:pt idx="3">
                  <c:v>152218.12939999998</c:v>
                </c:pt>
                <c:pt idx="4">
                  <c:v>124372.55810899998</c:v>
                </c:pt>
                <c:pt idx="5">
                  <c:v>99256.946383994975</c:v>
                </c:pt>
                <c:pt idx="6">
                  <c:v>102677.81648118209</c:v>
                </c:pt>
                <c:pt idx="7">
                  <c:v>82734.959947855561</c:v>
                </c:pt>
                <c:pt idx="8">
                  <c:v>76929.840090918253</c:v>
                </c:pt>
                <c:pt idx="9">
                  <c:v>71501.620551003783</c:v>
                </c:pt>
                <c:pt idx="10">
                  <c:v>-36982.765624834967</c:v>
                </c:pt>
                <c:pt idx="11">
                  <c:v>-141039.95431862085</c:v>
                </c:pt>
                <c:pt idx="12">
                  <c:v>-171835.76678628245</c:v>
                </c:pt>
                <c:pt idx="13">
                  <c:v>-215984.35550329729</c:v>
                </c:pt>
                <c:pt idx="14">
                  <c:v>-307888.67599465244</c:v>
                </c:pt>
                <c:pt idx="15">
                  <c:v>-295095.48289583466</c:v>
                </c:pt>
                <c:pt idx="16">
                  <c:v>-267914.32593504054</c:v>
                </c:pt>
                <c:pt idx="17">
                  <c:v>-284015.5458350305</c:v>
                </c:pt>
                <c:pt idx="18">
                  <c:v>-292605.2701330203</c:v>
                </c:pt>
                <c:pt idx="19">
                  <c:v>-560246.4089169699</c:v>
                </c:pt>
              </c:numCache>
            </c:numRef>
          </c:val>
          <c:smooth val="0"/>
          <c:extLst>
            <c:ext xmlns:c16="http://schemas.microsoft.com/office/drawing/2014/chart" uri="{C3380CC4-5D6E-409C-BE32-E72D297353CC}">
              <c16:uniqueId val="{00000001-1E26-4E23-8BFF-45EBB53884CE}"/>
            </c:ext>
          </c:extLst>
        </c:ser>
        <c:ser>
          <c:idx val="2"/>
          <c:order val="2"/>
          <c:tx>
            <c:strRef>
              <c:f>'Trial Deposits Engine'!$G$253</c:f>
              <c:strCache>
                <c:ptCount val="1"/>
                <c:pt idx="0">
                  <c:v>Estimate Period Minimum Balance-inflated</c:v>
                </c:pt>
              </c:strCache>
            </c:strRef>
          </c:tx>
          <c:marker>
            <c:symbol val="none"/>
          </c:marker>
          <c:val>
            <c:numRef>
              <c:f>'Trial Deposits Engine'!$H$253:$AA$253</c:f>
              <c:numCache>
                <c:formatCode>"$"#,##0.00</c:formatCode>
                <c:ptCount val="20"/>
                <c:pt idx="0">
                  <c:v>50151</c:v>
                </c:pt>
                <c:pt idx="1">
                  <c:v>51154.020000000004</c:v>
                </c:pt>
                <c:pt idx="2">
                  <c:v>52177.100400000003</c:v>
                </c:pt>
                <c:pt idx="3">
                  <c:v>53220.642408</c:v>
                </c:pt>
                <c:pt idx="4">
                  <c:v>54285.055256159998</c:v>
                </c:pt>
                <c:pt idx="5">
                  <c:v>55370.756361283202</c:v>
                </c:pt>
                <c:pt idx="6">
                  <c:v>56478.171488508866</c:v>
                </c:pt>
                <c:pt idx="7">
                  <c:v>57607.734918279042</c:v>
                </c:pt>
                <c:pt idx="8">
                  <c:v>58759.889616644628</c:v>
                </c:pt>
                <c:pt idx="9">
                  <c:v>59935.087408977524</c:v>
                </c:pt>
                <c:pt idx="10">
                  <c:v>61133.789157157073</c:v>
                </c:pt>
                <c:pt idx="11">
                  <c:v>62356.464940300211</c:v>
                </c:pt>
                <c:pt idx="12">
                  <c:v>63603.59423910622</c:v>
                </c:pt>
                <c:pt idx="13">
                  <c:v>64875.666123888339</c:v>
                </c:pt>
                <c:pt idx="14">
                  <c:v>66173.179446366106</c:v>
                </c:pt>
                <c:pt idx="15">
                  <c:v>67496.64303529344</c:v>
                </c:pt>
                <c:pt idx="16">
                  <c:v>68846.575895999311</c:v>
                </c:pt>
                <c:pt idx="17">
                  <c:v>70223.507413919302</c:v>
                </c:pt>
                <c:pt idx="18">
                  <c:v>71627.977562197688</c:v>
                </c:pt>
                <c:pt idx="19">
                  <c:v>73060.537113441635</c:v>
                </c:pt>
              </c:numCache>
            </c:numRef>
          </c:val>
          <c:smooth val="0"/>
          <c:extLst>
            <c:ext xmlns:c16="http://schemas.microsoft.com/office/drawing/2014/chart" uri="{C3380CC4-5D6E-409C-BE32-E72D297353CC}">
              <c16:uniqueId val="{00000002-1E26-4E23-8BFF-45EBB53884CE}"/>
            </c:ext>
          </c:extLst>
        </c:ser>
        <c:ser>
          <c:idx val="3"/>
          <c:order val="3"/>
          <c:tx>
            <c:strRef>
              <c:f>'Trial Deposits Engine'!$G$254</c:f>
              <c:strCache>
                <c:ptCount val="1"/>
                <c:pt idx="0">
                  <c:v>Margin exceeding Minimum Balance</c:v>
                </c:pt>
              </c:strCache>
            </c:strRef>
          </c:tx>
          <c:marker>
            <c:symbol val="none"/>
          </c:marker>
          <c:val>
            <c:numRef>
              <c:f>'Trial Deposits Engine'!$H$254:$AA$254</c:f>
              <c:numCache>
                <c:formatCode>"$"#,##0.00</c:formatCode>
                <c:ptCount val="20"/>
                <c:pt idx="0">
                  <c:v>171649</c:v>
                </c:pt>
                <c:pt idx="1">
                  <c:v>179077.97999999998</c:v>
                </c:pt>
                <c:pt idx="2">
                  <c:v>125210.2996</c:v>
                </c:pt>
                <c:pt idx="3">
                  <c:v>98997.486991999976</c:v>
                </c:pt>
                <c:pt idx="4">
                  <c:v>70087.502852839971</c:v>
                </c:pt>
                <c:pt idx="5">
                  <c:v>43886.190022711773</c:v>
                </c:pt>
                <c:pt idx="6">
                  <c:v>46199.644992673224</c:v>
                </c:pt>
                <c:pt idx="7">
                  <c:v>25127.225029576519</c:v>
                </c:pt>
                <c:pt idx="8">
                  <c:v>18169.950474273624</c:v>
                </c:pt>
                <c:pt idx="9">
                  <c:v>11566.533142026259</c:v>
                </c:pt>
                <c:pt idx="10">
                  <c:v>-98116.554781992047</c:v>
                </c:pt>
                <c:pt idx="11">
                  <c:v>-203396.41925892106</c:v>
                </c:pt>
                <c:pt idx="12">
                  <c:v>-235439.36102538867</c:v>
                </c:pt>
                <c:pt idx="13">
                  <c:v>-280860.02162718563</c:v>
                </c:pt>
                <c:pt idx="14">
                  <c:v>-374061.85544101853</c:v>
                </c:pt>
                <c:pt idx="15">
                  <c:v>-362592.1259311281</c:v>
                </c:pt>
                <c:pt idx="16">
                  <c:v>-336760.90183103987</c:v>
                </c:pt>
                <c:pt idx="17">
                  <c:v>-354239.05324894981</c:v>
                </c:pt>
                <c:pt idx="18">
                  <c:v>-364233.24769521796</c:v>
                </c:pt>
                <c:pt idx="19">
                  <c:v>-633306.94603041152</c:v>
                </c:pt>
              </c:numCache>
            </c:numRef>
          </c:val>
          <c:smooth val="0"/>
          <c:extLst>
            <c:ext xmlns:c16="http://schemas.microsoft.com/office/drawing/2014/chart" uri="{C3380CC4-5D6E-409C-BE32-E72D297353CC}">
              <c16:uniqueId val="{00000000-A678-407D-A232-F7F90DFDEBEF}"/>
            </c:ext>
          </c:extLst>
        </c:ser>
        <c:dLbls>
          <c:showLegendKey val="0"/>
          <c:showVal val="0"/>
          <c:showCatName val="0"/>
          <c:showSerName val="0"/>
          <c:showPercent val="0"/>
          <c:showBubbleSize val="0"/>
        </c:dLbls>
        <c:smooth val="0"/>
        <c:axId val="105609088"/>
        <c:axId val="105615360"/>
      </c:lineChart>
      <c:catAx>
        <c:axId val="105609088"/>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105615360"/>
        <c:crosses val="autoZero"/>
        <c:auto val="1"/>
        <c:lblAlgn val="ctr"/>
        <c:lblOffset val="100"/>
        <c:noMultiLvlLbl val="0"/>
      </c:catAx>
      <c:valAx>
        <c:axId val="105615360"/>
        <c:scaling>
          <c:orientation val="minMax"/>
        </c:scaling>
        <c:delete val="0"/>
        <c:axPos val="l"/>
        <c:majorGridlines/>
        <c:numFmt formatCode="General" sourceLinked="1"/>
        <c:majorTickMark val="out"/>
        <c:minorTickMark val="none"/>
        <c:tickLblPos val="nextTo"/>
        <c:crossAx val="105609088"/>
        <c:crosses val="autoZero"/>
        <c:crossBetween val="between"/>
      </c:valAx>
    </c:plotArea>
    <c:legend>
      <c:legendPos val="r"/>
      <c:layout>
        <c:manualLayout>
          <c:xMode val="edge"/>
          <c:yMode val="edge"/>
          <c:x val="0.18189074191812979"/>
          <c:y val="0.32442811995439397"/>
          <c:w val="0.31146310454799409"/>
          <c:h val="0.33424738805156279"/>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Reserve Balances</a:t>
            </a:r>
            <a:r>
              <a:rPr lang="en-US" baseline="0"/>
              <a:t> and the 11th-term-year Allowed %-of-paid-down-mortgage-principal offset for projected shortfall vs. required minimum RfR balances</a:t>
            </a:r>
            <a:endParaRPr lang="en-US"/>
          </a:p>
        </c:rich>
      </c:tx>
      <c:layout>
        <c:manualLayout>
          <c:xMode val="edge"/>
          <c:yMode val="edge"/>
          <c:x val="0.13341805516627958"/>
          <c:y val="6.7476383265856948E-2"/>
        </c:manualLayout>
      </c:layout>
      <c:overlay val="1"/>
    </c:title>
    <c:autoTitleDeleted val="0"/>
    <c:plotArea>
      <c:layout>
        <c:manualLayout>
          <c:layoutTarget val="inner"/>
          <c:xMode val="edge"/>
          <c:yMode val="edge"/>
          <c:x val="0.12752471158496492"/>
          <c:y val="0.26862009595739328"/>
          <c:w val="0.81055650652364108"/>
          <c:h val="0.63399738298018915"/>
        </c:manualLayout>
      </c:layout>
      <c:barChart>
        <c:barDir val="col"/>
        <c:grouping val="clustered"/>
        <c:varyColors val="0"/>
        <c:ser>
          <c:idx val="1"/>
          <c:order val="1"/>
          <c:tx>
            <c:strRef>
              <c:f>'Trial Deposits Engine'!$G$259</c:f>
              <c:strCache>
                <c:ptCount val="1"/>
                <c:pt idx="0">
                  <c:v>RfR shortfall vs. minimum requiring offset (inverse of green line below)</c:v>
                </c:pt>
              </c:strCache>
            </c:strRef>
          </c:tx>
          <c:spPr>
            <a:solidFill>
              <a:srgbClr val="92D050"/>
            </a:solidFill>
          </c:spPr>
          <c:invertIfNegative val="0"/>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Engine'!$H$259:$AA$259</c:f>
              <c:numCache>
                <c:formatCode>"$"#,##0.00</c:formatCode>
                <c:ptCount val="20"/>
                <c:pt idx="0">
                  <c:v>0</c:v>
                </c:pt>
                <c:pt idx="1">
                  <c:v>0</c:v>
                </c:pt>
                <c:pt idx="2">
                  <c:v>0</c:v>
                </c:pt>
                <c:pt idx="3">
                  <c:v>0</c:v>
                </c:pt>
                <c:pt idx="4">
                  <c:v>0</c:v>
                </c:pt>
                <c:pt idx="5">
                  <c:v>0</c:v>
                </c:pt>
                <c:pt idx="6">
                  <c:v>0</c:v>
                </c:pt>
                <c:pt idx="7">
                  <c:v>0</c:v>
                </c:pt>
                <c:pt idx="8">
                  <c:v>0</c:v>
                </c:pt>
                <c:pt idx="9">
                  <c:v>0</c:v>
                </c:pt>
                <c:pt idx="10">
                  <c:v>98116.554781992047</c:v>
                </c:pt>
                <c:pt idx="11">
                  <c:v>203396.41925892106</c:v>
                </c:pt>
                <c:pt idx="12">
                  <c:v>235439.36102538867</c:v>
                </c:pt>
                <c:pt idx="13">
                  <c:v>280860.02162718563</c:v>
                </c:pt>
                <c:pt idx="14">
                  <c:v>374061.85544101853</c:v>
                </c:pt>
                <c:pt idx="15">
                  <c:v>362592.1259311281</c:v>
                </c:pt>
                <c:pt idx="16">
                  <c:v>336760.90183103987</c:v>
                </c:pt>
                <c:pt idx="17">
                  <c:v>354239.05324894981</c:v>
                </c:pt>
                <c:pt idx="18">
                  <c:v>364233.24769521796</c:v>
                </c:pt>
                <c:pt idx="19">
                  <c:v>633306.94603041152</c:v>
                </c:pt>
              </c:numCache>
            </c:numRef>
          </c:val>
          <c:extLst>
            <c:ext xmlns:c16="http://schemas.microsoft.com/office/drawing/2014/chart" uri="{C3380CC4-5D6E-409C-BE32-E72D297353CC}">
              <c16:uniqueId val="{00000000-2A8A-488A-B56D-51F08B7DBB1C}"/>
            </c:ext>
          </c:extLst>
        </c:ser>
        <c:ser>
          <c:idx val="2"/>
          <c:order val="2"/>
          <c:tx>
            <c:strRef>
              <c:f>'Trial Deposits Engine'!$G$260</c:f>
              <c:strCache>
                <c:ptCount val="1"/>
                <c:pt idx="0">
                  <c:v>Allowed % of cumulative amortization (beg. Yr 11)</c:v>
                </c:pt>
              </c:strCache>
            </c:strRef>
          </c:tx>
          <c:spPr>
            <a:solidFill>
              <a:schemeClr val="accent6"/>
            </a:solidFill>
          </c:spPr>
          <c:invertIfNegative val="0"/>
          <c:cat>
            <c:numRef>
              <c:f>'Trial Deposits Engine'!$H$257:$Z$257</c:f>
              <c:numCache>
                <c:formatCode>General</c:formatCode>
                <c:ptCount val="1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numCache>
            </c:numRef>
          </c:cat>
          <c:val>
            <c:numRef>
              <c:f>'Trial Deposits Engine'!$H$260:$AA$260</c:f>
              <c:numCache>
                <c:formatCode>"$"#,##0.00</c:formatCode>
                <c:ptCount val="20"/>
                <c:pt idx="0">
                  <c:v>90819.301488003985</c:v>
                </c:pt>
                <c:pt idx="1">
                  <c:v>184775.03568828909</c:v>
                </c:pt>
                <c:pt idx="2">
                  <c:v>281975.5188948313</c:v>
                </c:pt>
                <c:pt idx="3">
                  <c:v>382532.8080906684</c:v>
                </c:pt>
                <c:pt idx="4">
                  <c:v>486562.83013210888</c:v>
                </c:pt>
                <c:pt idx="5">
                  <c:v>594185.51539429871</c:v>
                </c:pt>
                <c:pt idx="6">
                  <c:v>705524.93603222212</c:v>
                </c:pt>
                <c:pt idx="7">
                  <c:v>820709.44901652646</c:v>
                </c:pt>
                <c:pt idx="8">
                  <c:v>939871.8441090727</c:v>
                </c:pt>
                <c:pt idx="9">
                  <c:v>1063149.4969487994</c:v>
                </c:pt>
                <c:pt idx="10">
                  <c:v>1190684.5274243893</c:v>
                </c:pt>
                <c:pt idx="11">
                  <c:v>1322623.9635163143</c:v>
                </c:pt>
                <c:pt idx="12">
                  <c:v>1459119.9107971443</c:v>
                </c:pt>
                <c:pt idx="13">
                  <c:v>1600329.7277855272</c:v>
                </c:pt>
                <c:pt idx="14">
                  <c:v>1746416.207355995</c:v>
                </c:pt>
                <c:pt idx="15">
                  <c:v>1897547.764413733</c:v>
                </c:pt>
                <c:pt idx="16">
                  <c:v>2053898.6300506773</c:v>
                </c:pt>
                <c:pt idx="17">
                  <c:v>2215649.0524067618</c:v>
                </c:pt>
                <c:pt idx="18">
                  <c:v>2382985.5044678864</c:v>
                </c:pt>
                <c:pt idx="19">
                  <c:v>2556100.8990401556</c:v>
                </c:pt>
              </c:numCache>
            </c:numRef>
          </c:val>
          <c:extLst>
            <c:ext xmlns:c16="http://schemas.microsoft.com/office/drawing/2014/chart" uri="{C3380CC4-5D6E-409C-BE32-E72D297353CC}">
              <c16:uniqueId val="{00000001-2A8A-488A-B56D-51F08B7DBB1C}"/>
            </c:ext>
          </c:extLst>
        </c:ser>
        <c:dLbls>
          <c:showLegendKey val="0"/>
          <c:showVal val="0"/>
          <c:showCatName val="0"/>
          <c:showSerName val="0"/>
          <c:showPercent val="0"/>
          <c:showBubbleSize val="0"/>
        </c:dLbls>
        <c:gapWidth val="150"/>
        <c:axId val="119309056"/>
        <c:axId val="116073216"/>
      </c:barChart>
      <c:lineChart>
        <c:grouping val="standard"/>
        <c:varyColors val="0"/>
        <c:ser>
          <c:idx val="0"/>
          <c:order val="0"/>
          <c:tx>
            <c:strRef>
              <c:f>'Trial Deposits Engine'!$G$258</c:f>
              <c:strCache>
                <c:ptCount val="1"/>
                <c:pt idx="0">
                  <c:v>Ending RfR Balance</c:v>
                </c:pt>
              </c:strCache>
            </c:strRef>
          </c:tx>
          <c:marker>
            <c:symbol val="none"/>
          </c:marker>
          <c:cat>
            <c:numRef>
              <c:f>'Trial Deposits Engine'!$H$257:$AA$257</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Engine'!$H$258:$AA$258</c:f>
              <c:numCache>
                <c:formatCode>"$"#,##0.00_);[Red]\("$"#,##0.00\)</c:formatCode>
                <c:ptCount val="20"/>
                <c:pt idx="0">
                  <c:v>221800</c:v>
                </c:pt>
                <c:pt idx="1">
                  <c:v>230232</c:v>
                </c:pt>
                <c:pt idx="2">
                  <c:v>177387.4</c:v>
                </c:pt>
                <c:pt idx="3">
                  <c:v>152218.12939999998</c:v>
                </c:pt>
                <c:pt idx="4">
                  <c:v>124372.55810899998</c:v>
                </c:pt>
                <c:pt idx="5">
                  <c:v>99256.946383994975</c:v>
                </c:pt>
                <c:pt idx="6">
                  <c:v>102677.81648118209</c:v>
                </c:pt>
                <c:pt idx="7">
                  <c:v>82734.959947855561</c:v>
                </c:pt>
                <c:pt idx="8">
                  <c:v>76929.840090918253</c:v>
                </c:pt>
                <c:pt idx="9">
                  <c:v>71501.620551003783</c:v>
                </c:pt>
                <c:pt idx="10">
                  <c:v>-36982.765624834967</c:v>
                </c:pt>
                <c:pt idx="11">
                  <c:v>-141039.95431862085</c:v>
                </c:pt>
                <c:pt idx="12">
                  <c:v>-171835.76678628245</c:v>
                </c:pt>
                <c:pt idx="13">
                  <c:v>-215984.35550329729</c:v>
                </c:pt>
                <c:pt idx="14">
                  <c:v>-307888.67599465244</c:v>
                </c:pt>
                <c:pt idx="15">
                  <c:v>-295095.48289583466</c:v>
                </c:pt>
                <c:pt idx="16">
                  <c:v>-267914.32593504054</c:v>
                </c:pt>
                <c:pt idx="17">
                  <c:v>-284015.5458350305</c:v>
                </c:pt>
                <c:pt idx="18">
                  <c:v>-292605.2701330203</c:v>
                </c:pt>
                <c:pt idx="19">
                  <c:v>-560246.4089169699</c:v>
                </c:pt>
              </c:numCache>
            </c:numRef>
          </c:val>
          <c:smooth val="0"/>
          <c:extLst>
            <c:ext xmlns:c16="http://schemas.microsoft.com/office/drawing/2014/chart" uri="{C3380CC4-5D6E-409C-BE32-E72D297353CC}">
              <c16:uniqueId val="{00000002-2A8A-488A-B56D-51F08B7DBB1C}"/>
            </c:ext>
          </c:extLst>
        </c:ser>
        <c:ser>
          <c:idx val="3"/>
          <c:order val="3"/>
          <c:tx>
            <c:strRef>
              <c:f>'Trial Deposits Engine'!$G$254</c:f>
              <c:strCache>
                <c:ptCount val="1"/>
                <c:pt idx="0">
                  <c:v>Margin exceeding Minimum Balance</c:v>
                </c:pt>
              </c:strCache>
            </c:strRef>
          </c:tx>
          <c:spPr>
            <a:ln>
              <a:solidFill>
                <a:srgbClr val="92D050"/>
              </a:solidFill>
            </a:ln>
          </c:spPr>
          <c:marker>
            <c:symbol val="none"/>
          </c:marker>
          <c:cat>
            <c:numRef>
              <c:f>'Trial Deposits Engine'!$H$257:$AA$257</c:f>
              <c:numCache>
                <c:formatCode>General</c:formatCode>
                <c:ptCount val="2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numCache>
            </c:numRef>
          </c:cat>
          <c:val>
            <c:numRef>
              <c:f>'Trial Deposits Engine'!$H$254:$AA$254</c:f>
              <c:numCache>
                <c:formatCode>"$"#,##0.00</c:formatCode>
                <c:ptCount val="20"/>
                <c:pt idx="0">
                  <c:v>171649</c:v>
                </c:pt>
                <c:pt idx="1">
                  <c:v>179077.97999999998</c:v>
                </c:pt>
                <c:pt idx="2">
                  <c:v>125210.2996</c:v>
                </c:pt>
                <c:pt idx="3">
                  <c:v>98997.486991999976</c:v>
                </c:pt>
                <c:pt idx="4">
                  <c:v>70087.502852839971</c:v>
                </c:pt>
                <c:pt idx="5">
                  <c:v>43886.190022711773</c:v>
                </c:pt>
                <c:pt idx="6">
                  <c:v>46199.644992673224</c:v>
                </c:pt>
                <c:pt idx="7">
                  <c:v>25127.225029576519</c:v>
                </c:pt>
                <c:pt idx="8">
                  <c:v>18169.950474273624</c:v>
                </c:pt>
                <c:pt idx="9">
                  <c:v>11566.533142026259</c:v>
                </c:pt>
                <c:pt idx="10">
                  <c:v>-98116.554781992047</c:v>
                </c:pt>
                <c:pt idx="11">
                  <c:v>-203396.41925892106</c:v>
                </c:pt>
                <c:pt idx="12">
                  <c:v>-235439.36102538867</c:v>
                </c:pt>
                <c:pt idx="13">
                  <c:v>-280860.02162718563</c:v>
                </c:pt>
                <c:pt idx="14">
                  <c:v>-374061.85544101853</c:v>
                </c:pt>
                <c:pt idx="15">
                  <c:v>-362592.1259311281</c:v>
                </c:pt>
                <c:pt idx="16">
                  <c:v>-336760.90183103987</c:v>
                </c:pt>
                <c:pt idx="17">
                  <c:v>-354239.05324894981</c:v>
                </c:pt>
                <c:pt idx="18">
                  <c:v>-364233.24769521796</c:v>
                </c:pt>
                <c:pt idx="19">
                  <c:v>-633306.94603041152</c:v>
                </c:pt>
              </c:numCache>
            </c:numRef>
          </c:val>
          <c:smooth val="0"/>
          <c:extLst>
            <c:ext xmlns:c16="http://schemas.microsoft.com/office/drawing/2014/chart" uri="{C3380CC4-5D6E-409C-BE32-E72D297353CC}">
              <c16:uniqueId val="{00000000-ED2C-4BBD-9C33-69932DC80E64}"/>
            </c:ext>
          </c:extLst>
        </c:ser>
        <c:dLbls>
          <c:showLegendKey val="0"/>
          <c:showVal val="0"/>
          <c:showCatName val="0"/>
          <c:showSerName val="0"/>
          <c:showPercent val="0"/>
          <c:showBubbleSize val="0"/>
        </c:dLbls>
        <c:marker val="1"/>
        <c:smooth val="0"/>
        <c:axId val="119309056"/>
        <c:axId val="116073216"/>
      </c:lineChart>
      <c:catAx>
        <c:axId val="119309056"/>
        <c:scaling>
          <c:orientation val="minMax"/>
        </c:scaling>
        <c:delete val="0"/>
        <c:axPos val="b"/>
        <c:title>
          <c:tx>
            <c:rich>
              <a:bodyPr/>
              <a:lstStyle/>
              <a:p>
                <a:pPr>
                  <a:defRPr/>
                </a:pPr>
                <a:r>
                  <a:rPr lang="en-US"/>
                  <a:t>Relative Year</a:t>
                </a:r>
              </a:p>
            </c:rich>
          </c:tx>
          <c:overlay val="0"/>
        </c:title>
        <c:numFmt formatCode="General" sourceLinked="1"/>
        <c:majorTickMark val="out"/>
        <c:minorTickMark val="none"/>
        <c:tickLblPos val="nextTo"/>
        <c:crossAx val="116073216"/>
        <c:crosses val="autoZero"/>
        <c:auto val="1"/>
        <c:lblAlgn val="ctr"/>
        <c:lblOffset val="100"/>
        <c:noMultiLvlLbl val="0"/>
      </c:catAx>
      <c:valAx>
        <c:axId val="116073216"/>
        <c:scaling>
          <c:orientation val="minMax"/>
        </c:scaling>
        <c:delete val="0"/>
        <c:axPos val="l"/>
        <c:majorGridlines/>
        <c:numFmt formatCode="&quot;$&quot;#,##0.00" sourceLinked="1"/>
        <c:majorTickMark val="out"/>
        <c:minorTickMark val="none"/>
        <c:tickLblPos val="nextTo"/>
        <c:crossAx val="119309056"/>
        <c:crosses val="autoZero"/>
        <c:crossBetween val="between"/>
      </c:valAx>
    </c:plotArea>
    <c:legend>
      <c:legendPos val="r"/>
      <c:layout>
        <c:manualLayout>
          <c:xMode val="edge"/>
          <c:yMode val="edge"/>
          <c:x val="0.12757630000586329"/>
          <c:y val="0.24686587999214779"/>
          <c:w val="0.36761410079981788"/>
          <c:h val="0.28715597530918052"/>
        </c:manualLayout>
      </c:layout>
      <c:overlay val="0"/>
      <c:spPr>
        <a:solidFill>
          <a:schemeClr val="accent1">
            <a:lumMod val="20000"/>
            <a:lumOff val="80000"/>
          </a:schemeClr>
        </a:solidFill>
        <a:ln>
          <a:solidFill>
            <a:schemeClr val="tx1"/>
          </a:solidFill>
        </a:ln>
      </c:spPr>
    </c:legend>
    <c:plotVisOnly val="1"/>
    <c:dispBlanksAs val="zero"/>
    <c:showDLblsOverMax val="0"/>
  </c:chart>
  <c:printSettings>
    <c:headerFooter/>
    <c:pageMargins b="0.75000000000000044" l="0.7000000000000004" r="0.7000000000000004" t="0.75000000000000044" header="0.30000000000000021" footer="0.3000000000000002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400"/>
              <a:t>e-Tool Data Amortization Test Results for Yr. 11+ </a:t>
            </a:r>
          </a:p>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400"/>
              <a:t>e-Tool RfR Balance less Required Minimum Balance </a:t>
            </a:r>
          </a:p>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400"/>
              <a:t>vs. Allowable Amortization Offset</a:t>
            </a:r>
          </a:p>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400" b="1" i="0" baseline="0">
                <a:solidFill>
                  <a:srgbClr val="7030A0"/>
                </a:solidFill>
                <a:effectLst/>
              </a:rPr>
              <a:t>(Test is met if Purple Columns are taller than Orange Columns)</a:t>
            </a:r>
            <a:endParaRPr lang="en-US" sz="1400">
              <a:solidFill>
                <a:srgbClr val="7030A0"/>
              </a:solidFill>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endParaRPr lang="en-US" sz="1400"/>
          </a:p>
        </c:rich>
      </c:tx>
      <c:layout>
        <c:manualLayout>
          <c:xMode val="edge"/>
          <c:yMode val="edge"/>
          <c:x val="0.17036571200317596"/>
          <c:y val="3.0077577082776023E-2"/>
        </c:manualLayout>
      </c:layout>
      <c:overlay val="1"/>
    </c:title>
    <c:autoTitleDeleted val="0"/>
    <c:plotArea>
      <c:layout>
        <c:manualLayout>
          <c:layoutTarget val="inner"/>
          <c:xMode val="edge"/>
          <c:yMode val="edge"/>
          <c:x val="0.14349756280464943"/>
          <c:y val="0.35576638223989415"/>
          <c:w val="0.80188201474815646"/>
          <c:h val="0.56400331898195055"/>
        </c:manualLayout>
      </c:layout>
      <c:barChart>
        <c:barDir val="col"/>
        <c:grouping val="clustered"/>
        <c:varyColors val="0"/>
        <c:ser>
          <c:idx val="3"/>
          <c:order val="0"/>
          <c:tx>
            <c:strRef>
              <c:f>'eTool Data Engine'!$E$44</c:f>
              <c:strCache>
                <c:ptCount val="1"/>
                <c:pt idx="0">
                  <c:v>Allowance for RfR deficit offset @50.00%</c:v>
                </c:pt>
              </c:strCache>
            </c:strRef>
          </c:tx>
          <c:invertIfNegative val="0"/>
          <c:val>
            <c:numRef>
              <c:f>'eTool Data Engine'!$F$44:$Y$44</c:f>
              <c:numCache>
                <c:formatCode>"$"#,##0_);[Red]\("$"#,##0\)</c:formatCode>
                <c:ptCount val="20"/>
                <c:pt idx="0">
                  <c:v>90819.301488002762</c:v>
                </c:pt>
                <c:pt idx="1">
                  <c:v>184775.03568828851</c:v>
                </c:pt>
                <c:pt idx="2">
                  <c:v>281975.51889483072</c:v>
                </c:pt>
                <c:pt idx="3">
                  <c:v>382532.80809066817</c:v>
                </c:pt>
                <c:pt idx="4">
                  <c:v>486562.83013210911</c:v>
                </c:pt>
                <c:pt idx="5">
                  <c:v>594185.51539429836</c:v>
                </c:pt>
                <c:pt idx="6">
                  <c:v>705524.93603222165</c:v>
                </c:pt>
                <c:pt idx="7">
                  <c:v>820709.44901652634</c:v>
                </c:pt>
                <c:pt idx="8">
                  <c:v>939871.84410907235</c:v>
                </c:pt>
                <c:pt idx="9">
                  <c:v>1063149.4969487991</c:v>
                </c:pt>
                <c:pt idx="10">
                  <c:v>1190684.5274243876</c:v>
                </c:pt>
                <c:pt idx="11">
                  <c:v>1322623.9635163136</c:v>
                </c:pt>
                <c:pt idx="12">
                  <c:v>1459119.9107971424</c:v>
                </c:pt>
                <c:pt idx="13">
                  <c:v>1600329.7277855258</c:v>
                </c:pt>
                <c:pt idx="14">
                  <c:v>1746416.207355991</c:v>
                </c:pt>
                <c:pt idx="15">
                  <c:v>1897547.7644137293</c:v>
                </c:pt>
                <c:pt idx="16">
                  <c:v>2053898.6300506722</c:v>
                </c:pt>
                <c:pt idx="17">
                  <c:v>2215649.0524067585</c:v>
                </c:pt>
                <c:pt idx="18">
                  <c:v>2382985.5044678799</c:v>
                </c:pt>
                <c:pt idx="19">
                  <c:v>2556100.8990401491</c:v>
                </c:pt>
              </c:numCache>
            </c:numRef>
          </c:val>
          <c:extLst>
            <c:ext xmlns:c16="http://schemas.microsoft.com/office/drawing/2014/chart" uri="{C3380CC4-5D6E-409C-BE32-E72D297353CC}">
              <c16:uniqueId val="{00000000-BEE0-4893-BE8F-251C1AA48C3B}"/>
            </c:ext>
          </c:extLst>
        </c:ser>
        <c:ser>
          <c:idx val="4"/>
          <c:order val="1"/>
          <c:tx>
            <c:strRef>
              <c:f>'eTool Data Engine'!$E$19</c:f>
              <c:strCache>
                <c:ptCount val="1"/>
                <c:pt idx="0">
                  <c:v>e-Tool data Total to Offset (Ending Bal. minus Req. Min.)</c:v>
                </c:pt>
              </c:strCache>
            </c:strRef>
          </c:tx>
          <c:spPr>
            <a:solidFill>
              <a:srgbClr val="FFC000"/>
            </a:solidFill>
          </c:spPr>
          <c:invertIfNegative val="0"/>
          <c:val>
            <c:numRef>
              <c:f>'eTool Data Engine'!$F$24:$Y$24</c:f>
              <c:numCache>
                <c:formatCode>"$"#,##0_);[Red]\("$"#,##0\)</c:formatCode>
                <c:ptCount val="20"/>
                <c:pt idx="0">
                  <c:v>-171649</c:v>
                </c:pt>
                <c:pt idx="1">
                  <c:v>-179078</c:v>
                </c:pt>
                <c:pt idx="2">
                  <c:v>-125211</c:v>
                </c:pt>
                <c:pt idx="3">
                  <c:v>-98999</c:v>
                </c:pt>
                <c:pt idx="4">
                  <c:v>-70088</c:v>
                </c:pt>
                <c:pt idx="5">
                  <c:v>-43888</c:v>
                </c:pt>
                <c:pt idx="6">
                  <c:v>-46201</c:v>
                </c:pt>
                <c:pt idx="7">
                  <c:v>-25129</c:v>
                </c:pt>
                <c:pt idx="8">
                  <c:v>-18170</c:v>
                </c:pt>
                <c:pt idx="9">
                  <c:v>-11567</c:v>
                </c:pt>
                <c:pt idx="10">
                  <c:v>98116</c:v>
                </c:pt>
                <c:pt idx="11">
                  <c:v>203396</c:v>
                </c:pt>
                <c:pt idx="12">
                  <c:v>235439</c:v>
                </c:pt>
                <c:pt idx="13">
                  <c:v>280860</c:v>
                </c:pt>
                <c:pt idx="14">
                  <c:v>374062</c:v>
                </c:pt>
                <c:pt idx="15">
                  <c:v>362591</c:v>
                </c:pt>
                <c:pt idx="16">
                  <c:v>336760</c:v>
                </c:pt>
                <c:pt idx="17">
                  <c:v>354239</c:v>
                </c:pt>
                <c:pt idx="18">
                  <c:v>364233</c:v>
                </c:pt>
                <c:pt idx="19">
                  <c:v>633306</c:v>
                </c:pt>
              </c:numCache>
            </c:numRef>
          </c:val>
          <c:extLst>
            <c:ext xmlns:c16="http://schemas.microsoft.com/office/drawing/2014/chart" uri="{C3380CC4-5D6E-409C-BE32-E72D297353CC}">
              <c16:uniqueId val="{00000001-BEE0-4893-BE8F-251C1AA48C3B}"/>
            </c:ext>
          </c:extLst>
        </c:ser>
        <c:dLbls>
          <c:showLegendKey val="0"/>
          <c:showVal val="0"/>
          <c:showCatName val="0"/>
          <c:showSerName val="0"/>
          <c:showPercent val="0"/>
          <c:showBubbleSize val="0"/>
        </c:dLbls>
        <c:gapWidth val="150"/>
        <c:axId val="92180864"/>
        <c:axId val="92182784"/>
      </c:barChart>
      <c:catAx>
        <c:axId val="92180864"/>
        <c:scaling>
          <c:orientation val="minMax"/>
        </c:scaling>
        <c:delete val="0"/>
        <c:axPos val="b"/>
        <c:numFmt formatCode="General" sourceLinked="0"/>
        <c:majorTickMark val="out"/>
        <c:minorTickMark val="none"/>
        <c:tickLblPos val="nextTo"/>
        <c:txPr>
          <a:bodyPr/>
          <a:lstStyle/>
          <a:p>
            <a:pPr>
              <a:defRPr sz="600"/>
            </a:pPr>
            <a:endParaRPr lang="en-US"/>
          </a:p>
        </c:txPr>
        <c:crossAx val="92182784"/>
        <c:crosses val="autoZero"/>
        <c:auto val="1"/>
        <c:lblAlgn val="ctr"/>
        <c:lblOffset val="100"/>
        <c:noMultiLvlLbl val="0"/>
      </c:catAx>
      <c:valAx>
        <c:axId val="92182784"/>
        <c:scaling>
          <c:orientation val="minMax"/>
        </c:scaling>
        <c:delete val="0"/>
        <c:axPos val="l"/>
        <c:majorGridlines/>
        <c:numFmt formatCode="&quot;$&quot;#,##0" sourceLinked="0"/>
        <c:majorTickMark val="out"/>
        <c:minorTickMark val="none"/>
        <c:tickLblPos val="nextTo"/>
        <c:txPr>
          <a:bodyPr/>
          <a:lstStyle/>
          <a:p>
            <a:pPr>
              <a:defRPr sz="900"/>
            </a:pPr>
            <a:endParaRPr lang="en-US"/>
          </a:p>
        </c:txPr>
        <c:crossAx val="92180864"/>
        <c:crosses val="autoZero"/>
        <c:crossBetween val="between"/>
      </c:valAx>
    </c:plotArea>
    <c:legend>
      <c:legendPos val="t"/>
      <c:layout>
        <c:manualLayout>
          <c:xMode val="edge"/>
          <c:yMode val="edge"/>
          <c:x val="0.18096063269021997"/>
          <c:y val="0.27620651554449344"/>
          <c:w val="0.6711417794136747"/>
          <c:h val="0.10275095692982816"/>
        </c:manualLayout>
      </c:layout>
      <c:overlay val="1"/>
      <c:spPr>
        <a:solidFill>
          <a:schemeClr val="bg1"/>
        </a:solidFill>
        <a:ln>
          <a:solidFill>
            <a:schemeClr val="accent1"/>
          </a:solidFill>
        </a:ln>
      </c:spPr>
      <c:txPr>
        <a:bodyPr/>
        <a:lstStyle/>
        <a:p>
          <a:pPr>
            <a:defRPr sz="1100"/>
          </a:pPr>
          <a:endParaRPr lang="en-US"/>
        </a:p>
      </c:txPr>
    </c:legend>
    <c:plotVisOnly val="1"/>
    <c:dispBlanksAs val="gap"/>
    <c:showDLblsOverMax val="0"/>
  </c:chart>
  <c:spPr>
    <a:ln w="19050">
      <a:solidFill>
        <a:schemeClr val="tx1"/>
      </a:solidFill>
    </a:ln>
  </c:spPr>
  <c:printSettings>
    <c:headerFooter/>
    <c:pageMargins b="0.75000000000000033" l="0.70000000000000029" r="0.70000000000000029" t="0.75000000000000033" header="0.30000000000000016" footer="0.30000000000000016"/>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600"/>
              <a:t>e-Tool Data Required Minimum Balance Test Results</a:t>
            </a:r>
          </a:p>
          <a:p>
            <a:pPr>
              <a:defRPr sz="1400"/>
            </a:pPr>
            <a:r>
              <a:rPr lang="en-US" sz="1600" b="1" i="0" u="none" strike="noStrike" baseline="0">
                <a:effectLst/>
              </a:rPr>
              <a:t>e-Tool RfR Balances </a:t>
            </a:r>
            <a:r>
              <a:rPr lang="en-US" sz="1600"/>
              <a:t>vs</a:t>
            </a:r>
            <a:r>
              <a:rPr lang="en-US" sz="1600" baseline="0"/>
              <a:t> </a:t>
            </a:r>
            <a:r>
              <a:rPr lang="en-US" sz="1600"/>
              <a:t>Required Minimum Balance</a:t>
            </a:r>
          </a:p>
          <a:p>
            <a:pPr>
              <a:defRPr sz="1400"/>
            </a:pPr>
            <a:r>
              <a:rPr lang="en-US" sz="1600">
                <a:solidFill>
                  <a:srgbClr val="0070C0"/>
                </a:solidFill>
              </a:rPr>
              <a:t>(Test is met if Blue Columns are taller</a:t>
            </a:r>
            <a:r>
              <a:rPr lang="en-US" sz="1600" baseline="0">
                <a:solidFill>
                  <a:srgbClr val="0070C0"/>
                </a:solidFill>
              </a:rPr>
              <a:t> than Green Columns*)</a:t>
            </a:r>
            <a:r>
              <a:rPr lang="en-US" sz="1600">
                <a:solidFill>
                  <a:srgbClr val="0070C0"/>
                </a:solidFill>
              </a:rPr>
              <a:t> </a:t>
            </a:r>
          </a:p>
        </c:rich>
      </c:tx>
      <c:overlay val="1"/>
    </c:title>
    <c:autoTitleDeleted val="0"/>
    <c:plotArea>
      <c:layout>
        <c:manualLayout>
          <c:layoutTarget val="inner"/>
          <c:xMode val="edge"/>
          <c:yMode val="edge"/>
          <c:x val="0.12762467191601035"/>
          <c:y val="0.34676979786408485"/>
          <c:w val="0.81775501073729451"/>
          <c:h val="0.57299994046372593"/>
        </c:manualLayout>
      </c:layout>
      <c:barChart>
        <c:barDir val="col"/>
        <c:grouping val="clustered"/>
        <c:varyColors val="0"/>
        <c:ser>
          <c:idx val="0"/>
          <c:order val="0"/>
          <c:tx>
            <c:strRef>
              <c:f>'eTool Data Engine'!$E$17</c:f>
              <c:strCache>
                <c:ptCount val="1"/>
                <c:pt idx="0">
                  <c:v>Ending RfR Balance (from eTool data)</c:v>
                </c:pt>
              </c:strCache>
            </c:strRef>
          </c:tx>
          <c:invertIfNegative val="0"/>
          <c:val>
            <c:numRef>
              <c:f>'eTool Data Engine'!$F$17:$Y$17</c:f>
              <c:numCache>
                <c:formatCode>"$"#,##0_);[Red]\("$"#,##0\)</c:formatCode>
                <c:ptCount val="20"/>
                <c:pt idx="0">
                  <c:v>221800</c:v>
                </c:pt>
                <c:pt idx="1">
                  <c:v>230232</c:v>
                </c:pt>
                <c:pt idx="2">
                  <c:v>177388</c:v>
                </c:pt>
                <c:pt idx="3">
                  <c:v>152219</c:v>
                </c:pt>
                <c:pt idx="4">
                  <c:v>124373</c:v>
                </c:pt>
                <c:pt idx="5">
                  <c:v>99258</c:v>
                </c:pt>
                <c:pt idx="6">
                  <c:v>102679</c:v>
                </c:pt>
                <c:pt idx="7">
                  <c:v>82736</c:v>
                </c:pt>
                <c:pt idx="8">
                  <c:v>76930</c:v>
                </c:pt>
                <c:pt idx="9">
                  <c:v>71502</c:v>
                </c:pt>
                <c:pt idx="10">
                  <c:v>-36983</c:v>
                </c:pt>
                <c:pt idx="11">
                  <c:v>-141040</c:v>
                </c:pt>
                <c:pt idx="12">
                  <c:v>-171836</c:v>
                </c:pt>
                <c:pt idx="13">
                  <c:v>-215985</c:v>
                </c:pt>
                <c:pt idx="14">
                  <c:v>-307889</c:v>
                </c:pt>
                <c:pt idx="15">
                  <c:v>-295095</c:v>
                </c:pt>
                <c:pt idx="16">
                  <c:v>-267914</c:v>
                </c:pt>
                <c:pt idx="17">
                  <c:v>-284016</c:v>
                </c:pt>
                <c:pt idx="18">
                  <c:v>-292605</c:v>
                </c:pt>
                <c:pt idx="19">
                  <c:v>-560246</c:v>
                </c:pt>
              </c:numCache>
            </c:numRef>
          </c:val>
          <c:extLst xmlns:c15="http://schemas.microsoft.com/office/drawing/2012/chart">
            <c:ext xmlns:c16="http://schemas.microsoft.com/office/drawing/2014/chart" uri="{C3380CC4-5D6E-409C-BE32-E72D297353CC}">
              <c16:uniqueId val="{00000000-A056-47F6-8227-5B2E4F475E42}"/>
            </c:ext>
          </c:extLst>
        </c:ser>
        <c:ser>
          <c:idx val="1"/>
          <c:order val="2"/>
          <c:tx>
            <c:strRef>
              <c:f>'eTool Data Engine'!$E$56</c:f>
              <c:strCache>
                <c:ptCount val="1"/>
                <c:pt idx="0">
                  <c:v>Minimum Required Balance</c:v>
                </c:pt>
              </c:strCache>
            </c:strRef>
          </c:tx>
          <c:spPr>
            <a:solidFill>
              <a:srgbClr val="92D050"/>
            </a:solidFill>
          </c:spPr>
          <c:invertIfNegative val="0"/>
          <c:val>
            <c:numRef>
              <c:f>'eTool Data Engine'!$F$56:$Y$56</c:f>
              <c:numCache>
                <c:formatCode>"$"#,##0_);[Red]\("$"#,##0\)</c:formatCode>
                <c:ptCount val="20"/>
                <c:pt idx="0">
                  <c:v>50151</c:v>
                </c:pt>
                <c:pt idx="1">
                  <c:v>51154</c:v>
                </c:pt>
                <c:pt idx="2">
                  <c:v>52177</c:v>
                </c:pt>
                <c:pt idx="3">
                  <c:v>53220</c:v>
                </c:pt>
                <c:pt idx="4">
                  <c:v>54285</c:v>
                </c:pt>
                <c:pt idx="5">
                  <c:v>55370</c:v>
                </c:pt>
                <c:pt idx="6">
                  <c:v>56478</c:v>
                </c:pt>
                <c:pt idx="7">
                  <c:v>57607</c:v>
                </c:pt>
                <c:pt idx="8">
                  <c:v>58760</c:v>
                </c:pt>
                <c:pt idx="9">
                  <c:v>59935</c:v>
                </c:pt>
                <c:pt idx="10">
                  <c:v>61133</c:v>
                </c:pt>
                <c:pt idx="11">
                  <c:v>62356</c:v>
                </c:pt>
                <c:pt idx="12">
                  <c:v>63603</c:v>
                </c:pt>
                <c:pt idx="13">
                  <c:v>64875</c:v>
                </c:pt>
                <c:pt idx="14">
                  <c:v>66173</c:v>
                </c:pt>
                <c:pt idx="15">
                  <c:v>67496</c:v>
                </c:pt>
                <c:pt idx="16">
                  <c:v>68846</c:v>
                </c:pt>
                <c:pt idx="17">
                  <c:v>70223</c:v>
                </c:pt>
                <c:pt idx="18">
                  <c:v>71628</c:v>
                </c:pt>
                <c:pt idx="19">
                  <c:v>73060</c:v>
                </c:pt>
              </c:numCache>
            </c:numRef>
          </c:val>
          <c:extLst>
            <c:ext xmlns:c16="http://schemas.microsoft.com/office/drawing/2014/chart" uri="{C3380CC4-5D6E-409C-BE32-E72D297353CC}">
              <c16:uniqueId val="{00000001-A056-47F6-8227-5B2E4F475E42}"/>
            </c:ext>
          </c:extLst>
        </c:ser>
        <c:dLbls>
          <c:showLegendKey val="0"/>
          <c:showVal val="0"/>
          <c:showCatName val="0"/>
          <c:showSerName val="0"/>
          <c:showPercent val="0"/>
          <c:showBubbleSize val="0"/>
        </c:dLbls>
        <c:gapWidth val="150"/>
        <c:axId val="92180864"/>
        <c:axId val="92182784"/>
        <c:extLst>
          <c:ext xmlns:c15="http://schemas.microsoft.com/office/drawing/2012/chart" uri="{02D57815-91ED-43cb-92C2-25804820EDAC}">
            <c15:filteredBarSeries>
              <c15:ser>
                <c:idx val="2"/>
                <c:order val="1"/>
                <c:tx>
                  <c:strRef>
                    <c:extLst>
                      <c:ext uri="{02D57815-91ED-43cb-92C2-25804820EDAC}">
                        <c15:formulaRef>
                          <c15:sqref>'eTool Data Engine'!$E$60</c15:sqref>
                        </c15:formulaRef>
                      </c:ext>
                    </c:extLst>
                    <c:strCache>
                      <c:ptCount val="1"/>
                    </c:strCache>
                  </c:strRef>
                </c:tx>
                <c:invertIfNegative val="0"/>
                <c:val>
                  <c:numRef>
                    <c:extLst>
                      <c:ext uri="{02D57815-91ED-43cb-92C2-25804820EDAC}">
                        <c15:formulaRef>
                          <c15:sqref>'eTool Data Engine'!$F$60:$Y$60</c15:sqref>
                        </c15:formulaRef>
                      </c:ext>
                    </c:extLst>
                    <c:numCache>
                      <c:formatCode>"$"#,##0_);[Red]\("$"#,##0\)</c:formatCode>
                      <c:ptCount val="20"/>
                    </c:numCache>
                  </c:numRef>
                </c:val>
                <c:extLst>
                  <c:ext xmlns:c16="http://schemas.microsoft.com/office/drawing/2014/chart" uri="{C3380CC4-5D6E-409C-BE32-E72D297353CC}">
                    <c16:uniqueId val="{00000002-A056-47F6-8227-5B2E4F475E42}"/>
                  </c:ext>
                </c:extLst>
              </c15:ser>
            </c15:filteredBarSeries>
          </c:ext>
        </c:extLst>
      </c:barChart>
      <c:catAx>
        <c:axId val="92180864"/>
        <c:scaling>
          <c:orientation val="minMax"/>
        </c:scaling>
        <c:delete val="0"/>
        <c:axPos val="b"/>
        <c:numFmt formatCode="General" sourceLinked="0"/>
        <c:majorTickMark val="out"/>
        <c:minorTickMark val="none"/>
        <c:tickLblPos val="nextTo"/>
        <c:txPr>
          <a:bodyPr/>
          <a:lstStyle/>
          <a:p>
            <a:pPr>
              <a:defRPr sz="600"/>
            </a:pPr>
            <a:endParaRPr lang="en-US"/>
          </a:p>
        </c:txPr>
        <c:crossAx val="92182784"/>
        <c:crosses val="autoZero"/>
        <c:auto val="1"/>
        <c:lblAlgn val="ctr"/>
        <c:lblOffset val="100"/>
        <c:noMultiLvlLbl val="0"/>
      </c:catAx>
      <c:valAx>
        <c:axId val="92182784"/>
        <c:scaling>
          <c:orientation val="minMax"/>
        </c:scaling>
        <c:delete val="0"/>
        <c:axPos val="l"/>
        <c:majorGridlines/>
        <c:numFmt formatCode="&quot;$&quot;#,##0_);[Red]\(&quot;$&quot;#,##0\)" sourceLinked="1"/>
        <c:majorTickMark val="out"/>
        <c:minorTickMark val="none"/>
        <c:tickLblPos val="nextTo"/>
        <c:txPr>
          <a:bodyPr/>
          <a:lstStyle/>
          <a:p>
            <a:pPr>
              <a:defRPr sz="900"/>
            </a:pPr>
            <a:endParaRPr lang="en-US"/>
          </a:p>
        </c:txPr>
        <c:crossAx val="92180864"/>
        <c:crosses val="autoZero"/>
        <c:crossBetween val="between"/>
      </c:valAx>
    </c:plotArea>
    <c:legend>
      <c:legendPos val="t"/>
      <c:layout>
        <c:manualLayout>
          <c:xMode val="edge"/>
          <c:yMode val="edge"/>
          <c:x val="0.25156012661809701"/>
          <c:y val="0.2268929968917959"/>
          <c:w val="0.55718475073313778"/>
          <c:h val="9.8726469722153709E-2"/>
        </c:manualLayout>
      </c:layout>
      <c:overlay val="1"/>
      <c:spPr>
        <a:solidFill>
          <a:schemeClr val="bg1"/>
        </a:solidFill>
        <a:ln>
          <a:solidFill>
            <a:schemeClr val="accent1"/>
          </a:solidFill>
        </a:ln>
      </c:spPr>
      <c:txPr>
        <a:bodyPr/>
        <a:lstStyle/>
        <a:p>
          <a:pPr>
            <a:defRPr sz="1200"/>
          </a:pPr>
          <a:endParaRPr lang="en-US"/>
        </a:p>
      </c:txPr>
    </c:legend>
    <c:plotVisOnly val="1"/>
    <c:dispBlanksAs val="gap"/>
    <c:showDLblsOverMax val="0"/>
  </c:chart>
  <c:spPr>
    <a:ln w="19050">
      <a:solidFill>
        <a:schemeClr val="tx1"/>
      </a:solidFill>
    </a:ln>
  </c:spPr>
  <c:printSettings>
    <c:headerFooter/>
    <c:pageMargins b="0.75000000000000033" l="0.70000000000000029" r="0.70000000000000029" t="0.75000000000000033" header="0.30000000000000016" footer="0.30000000000000016"/>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mn-lt"/>
                <a:ea typeface="+mn-ea"/>
                <a:cs typeface="+mn-cs"/>
              </a:defRPr>
            </a:pPr>
            <a:r>
              <a:rPr lang="en-US" sz="1800" b="1" i="0" baseline="0">
                <a:effectLst/>
              </a:rPr>
              <a:t>e-Tool Data Results - Amortization Test Results for Relative Years 11+</a:t>
            </a:r>
          </a:p>
          <a:p>
            <a:pPr marL="0" marR="0" lvl="0" indent="0" algn="ctr" defTabSz="914400" rtl="0" eaLnBrk="1" fontAlgn="auto" latinLnBrk="0" hangingPunct="1">
              <a:lnSpc>
                <a:spcPct val="100000"/>
              </a:lnSpc>
              <a:spcBef>
                <a:spcPts val="0"/>
              </a:spcBef>
              <a:spcAft>
                <a:spcPts val="0"/>
              </a:spcAft>
              <a:buClrTx/>
              <a:buSzTx/>
              <a:buFontTx/>
              <a:buNone/>
              <a:tabLst/>
              <a:defRPr sz="1200" b="1" i="0" u="none" strike="noStrike" kern="1200" baseline="0">
                <a:solidFill>
                  <a:sysClr val="windowText" lastClr="000000"/>
                </a:solidFill>
                <a:latin typeface="+mn-lt"/>
                <a:ea typeface="+mn-ea"/>
                <a:cs typeface="+mn-cs"/>
              </a:defRPr>
            </a:pPr>
            <a:r>
              <a:rPr lang="en-US" sz="1600" b="1" i="0" baseline="0">
                <a:effectLst/>
              </a:rPr>
              <a:t>% of Amortization Required to Mitigate e-Tool Data Results RfR Shortfall vs. Required Minimum Balance</a:t>
            </a:r>
            <a:endParaRPr lang="en-US" sz="1200">
              <a:effectLst/>
            </a:endParaRPr>
          </a:p>
        </c:rich>
      </c:tx>
      <c:layout>
        <c:manualLayout>
          <c:xMode val="edge"/>
          <c:yMode val="edge"/>
          <c:x val="0.12587729606880635"/>
          <c:y val="4.0209053742820321E-2"/>
        </c:manualLayout>
      </c:layout>
      <c:overlay val="0"/>
      <c:spPr>
        <a:ln>
          <a:solidFill>
            <a:srgbClr val="00B050"/>
          </a:solidFill>
        </a:ln>
      </c:spPr>
    </c:title>
    <c:autoTitleDeleted val="0"/>
    <c:plotArea>
      <c:layout>
        <c:manualLayout>
          <c:layoutTarget val="inner"/>
          <c:xMode val="edge"/>
          <c:yMode val="edge"/>
          <c:x val="0.12057746674631166"/>
          <c:y val="0.34909409663408625"/>
          <c:w val="0.84201575189625877"/>
          <c:h val="0.52793421737726309"/>
        </c:manualLayout>
      </c:layout>
      <c:barChart>
        <c:barDir val="col"/>
        <c:grouping val="clustered"/>
        <c:varyColors val="0"/>
        <c:ser>
          <c:idx val="0"/>
          <c:order val="0"/>
          <c:tx>
            <c:strRef>
              <c:f>'eTool Data Engine'!$E$25</c:f>
              <c:strCache>
                <c:ptCount val="1"/>
                <c:pt idx="0">
                  <c:v>For graph: % of Amortztn Req. to Offset (eTool data Ending Bal. minus Req. Min.)</c:v>
                </c:pt>
              </c:strCache>
            </c:strRef>
          </c:tx>
          <c:spPr>
            <a:solidFill>
              <a:srgbClr val="7030A0"/>
            </a:solidFill>
          </c:spPr>
          <c:invertIfNegative val="0"/>
          <c:dLbls>
            <c:numFmt formatCode="0.0%" sourceLinked="0"/>
            <c:spPr>
              <a:solidFill>
                <a:srgbClr val="CCCCFF"/>
              </a:solidFill>
              <a:ln>
                <a:solidFill>
                  <a:schemeClr val="accent1"/>
                </a:solidFill>
              </a:ln>
              <a:effectLst/>
            </c:spPr>
            <c:txPr>
              <a:bodyPr wrap="square" lIns="38100" tIns="19050" rIns="38100" bIns="19050" anchor="ctr">
                <a:spAutoFit/>
              </a:bodyPr>
              <a:lstStyle/>
              <a:p>
                <a:pPr>
                  <a:defRPr sz="105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'Trial Dep. Projections Sumry'!$S$5:$AB$5</c:f>
              <c:numCache>
                <c:formatCode>0</c:formatCode>
                <c:ptCount val="10"/>
                <c:pt idx="0">
                  <c:v>11</c:v>
                </c:pt>
                <c:pt idx="1">
                  <c:v>12</c:v>
                </c:pt>
                <c:pt idx="2">
                  <c:v>13</c:v>
                </c:pt>
                <c:pt idx="3">
                  <c:v>14</c:v>
                </c:pt>
                <c:pt idx="4">
                  <c:v>15</c:v>
                </c:pt>
                <c:pt idx="5">
                  <c:v>16</c:v>
                </c:pt>
                <c:pt idx="6">
                  <c:v>17</c:v>
                </c:pt>
                <c:pt idx="7">
                  <c:v>18</c:v>
                </c:pt>
                <c:pt idx="8">
                  <c:v>19</c:v>
                </c:pt>
                <c:pt idx="9">
                  <c:v>20</c:v>
                </c:pt>
              </c:numCache>
            </c:numRef>
          </c:cat>
          <c:val>
            <c:numRef>
              <c:f>'eTool Data Engine'!$P$25:$Y$25</c:f>
              <c:numCache>
                <c:formatCode>0.0%</c:formatCode>
                <c:ptCount val="10"/>
                <c:pt idx="0">
                  <c:v>4.1201509610710334E-2</c:v>
                </c:pt>
                <c:pt idx="1">
                  <c:v>7.6891091349673424E-2</c:v>
                </c:pt>
                <c:pt idx="2">
                  <c:v>8.0678427543139891E-2</c:v>
                </c:pt>
                <c:pt idx="3">
                  <c:v>8.7750666354440329E-2</c:v>
                </c:pt>
                <c:pt idx="4">
                  <c:v>0.10709417332032091</c:v>
                </c:pt>
                <c:pt idx="5">
                  <c:v>9.5541995516520484E-2</c:v>
                </c:pt>
                <c:pt idx="6">
                  <c:v>8.1980676911910619E-2</c:v>
                </c:pt>
                <c:pt idx="7">
                  <c:v>7.9940232324971841E-2</c:v>
                </c:pt>
                <c:pt idx="8">
                  <c:v>7.642367091975516E-2</c:v>
                </c:pt>
                <c:pt idx="9">
                  <c:v>0.12388125997643816</c:v>
                </c:pt>
              </c:numCache>
            </c:numRef>
          </c:val>
          <c:extLst>
            <c:ext xmlns:c16="http://schemas.microsoft.com/office/drawing/2014/chart" uri="{C3380CC4-5D6E-409C-BE32-E72D297353CC}">
              <c16:uniqueId val="{00000000-06D2-492D-BCED-37CECC747C29}"/>
            </c:ext>
          </c:extLst>
        </c:ser>
        <c:dLbls>
          <c:showLegendKey val="0"/>
          <c:showVal val="0"/>
          <c:showCatName val="0"/>
          <c:showSerName val="0"/>
          <c:showPercent val="0"/>
          <c:showBubbleSize val="0"/>
        </c:dLbls>
        <c:gapWidth val="150"/>
        <c:axId val="92253568"/>
        <c:axId val="92259840"/>
      </c:barChart>
      <c:catAx>
        <c:axId val="92253568"/>
        <c:scaling>
          <c:orientation val="minMax"/>
        </c:scaling>
        <c:delete val="0"/>
        <c:axPos val="b"/>
        <c:title>
          <c:tx>
            <c:rich>
              <a:bodyPr/>
              <a:lstStyle/>
              <a:p>
                <a:pPr>
                  <a:defRPr sz="800" b="0"/>
                </a:pPr>
                <a:r>
                  <a:rPr lang="en-US" sz="800" b="0"/>
                  <a:t>Relative Year</a:t>
                </a:r>
              </a:p>
            </c:rich>
          </c:tx>
          <c:overlay val="0"/>
        </c:title>
        <c:numFmt formatCode="0" sourceLinked="1"/>
        <c:majorTickMark val="out"/>
        <c:minorTickMark val="none"/>
        <c:tickLblPos val="nextTo"/>
        <c:txPr>
          <a:bodyPr/>
          <a:lstStyle/>
          <a:p>
            <a:pPr>
              <a:defRPr sz="800"/>
            </a:pPr>
            <a:endParaRPr lang="en-US"/>
          </a:p>
        </c:txPr>
        <c:crossAx val="92259840"/>
        <c:crosses val="autoZero"/>
        <c:auto val="1"/>
        <c:lblAlgn val="ctr"/>
        <c:lblOffset val="100"/>
        <c:noMultiLvlLbl val="0"/>
      </c:catAx>
      <c:valAx>
        <c:axId val="92259840"/>
        <c:scaling>
          <c:orientation val="minMax"/>
        </c:scaling>
        <c:delete val="0"/>
        <c:axPos val="l"/>
        <c:majorGridlines/>
        <c:numFmt formatCode="0%" sourceLinked="0"/>
        <c:majorTickMark val="out"/>
        <c:minorTickMark val="none"/>
        <c:tickLblPos val="nextTo"/>
        <c:crossAx val="92253568"/>
        <c:crosses val="autoZero"/>
        <c:crossBetween val="between"/>
      </c:valAx>
    </c:plotArea>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600"/>
              <a:t>eTool</a:t>
            </a:r>
            <a:r>
              <a:rPr lang="en-US" sz="1600" baseline="0"/>
              <a:t> Data Inflated Needs Schedule (Red Columns) and Estimate Period Required Minimum Balances (Green Line)</a:t>
            </a:r>
          </a:p>
        </c:rich>
      </c:tx>
      <c:layout>
        <c:manualLayout>
          <c:xMode val="edge"/>
          <c:yMode val="edge"/>
          <c:x val="0.12585796861917894"/>
          <c:y val="6.008583690987124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4408126479969174"/>
          <c:y val="0.27493562231759655"/>
          <c:w val="0.82238816841569706"/>
          <c:h val="0.59323780879321431"/>
        </c:manualLayout>
      </c:layout>
      <c:barChart>
        <c:barDir val="col"/>
        <c:grouping val="clustered"/>
        <c:varyColors val="0"/>
        <c:ser>
          <c:idx val="1"/>
          <c:order val="0"/>
          <c:tx>
            <c:strRef>
              <c:f>'eTool Data Analysis'!$C$109</c:f>
              <c:strCache>
                <c:ptCount val="1"/>
                <c:pt idx="0">
                  <c:v>Inflated Needs </c:v>
                </c:pt>
              </c:strCache>
            </c:strRef>
          </c:tx>
          <c:spPr>
            <a:solidFill>
              <a:schemeClr val="accent2"/>
            </a:solidFill>
            <a:ln>
              <a:noFill/>
            </a:ln>
            <a:effectLst/>
          </c:spPr>
          <c:invertIfNegative val="0"/>
          <c:dLbls>
            <c:spPr>
              <a:solidFill>
                <a:schemeClr val="bg1"/>
              </a:solidFill>
              <a:ln>
                <a:solidFill>
                  <a:schemeClr val="accent1"/>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'eTool Data Analysis'!$C$110:$C$129</c:f>
              <c:numCache>
                <c:formatCode>"$"#,##0_);[Red]\("$"#,##0\)</c:formatCode>
                <c:ptCount val="20"/>
                <c:pt idx="0">
                  <c:v>0</c:v>
                </c:pt>
                <c:pt idx="1">
                  <c:v>13982</c:v>
                </c:pt>
                <c:pt idx="2">
                  <c:v>76898</c:v>
                </c:pt>
                <c:pt idx="3">
                  <c:v>48842</c:v>
                </c:pt>
                <c:pt idx="4">
                  <c:v>51561</c:v>
                </c:pt>
                <c:pt idx="5">
                  <c:v>48842</c:v>
                </c:pt>
                <c:pt idx="6">
                  <c:v>20366</c:v>
                </c:pt>
                <c:pt idx="7">
                  <c:v>44227</c:v>
                </c:pt>
                <c:pt idx="8">
                  <c:v>30245</c:v>
                </c:pt>
                <c:pt idx="9">
                  <c:v>30245</c:v>
                </c:pt>
                <c:pt idx="10">
                  <c:v>133693</c:v>
                </c:pt>
                <c:pt idx="11">
                  <c:v>128676</c:v>
                </c:pt>
                <c:pt idx="12">
                  <c:v>55907</c:v>
                </c:pt>
                <c:pt idx="13">
                  <c:v>69762</c:v>
                </c:pt>
                <c:pt idx="14">
                  <c:v>118030</c:v>
                </c:pt>
                <c:pt idx="15">
                  <c:v>13855</c:v>
                </c:pt>
                <c:pt idx="16">
                  <c:v>0</c:v>
                </c:pt>
                <c:pt idx="17">
                  <c:v>43826</c:v>
                </c:pt>
                <c:pt idx="18">
                  <c:v>36869</c:v>
                </c:pt>
                <c:pt idx="19">
                  <c:v>296486</c:v>
                </c:pt>
              </c:numCache>
            </c:numRef>
          </c:val>
          <c:extLst>
            <c:ext xmlns:c16="http://schemas.microsoft.com/office/drawing/2014/chart" uri="{C3380CC4-5D6E-409C-BE32-E72D297353CC}">
              <c16:uniqueId val="{00000001-9E4B-461A-9804-121A3D7A0A90}"/>
            </c:ext>
          </c:extLst>
        </c:ser>
        <c:dLbls>
          <c:showLegendKey val="0"/>
          <c:showVal val="0"/>
          <c:showCatName val="0"/>
          <c:showSerName val="0"/>
          <c:showPercent val="0"/>
          <c:showBubbleSize val="0"/>
        </c:dLbls>
        <c:gapWidth val="219"/>
        <c:overlap val="-27"/>
        <c:axId val="646259432"/>
        <c:axId val="646261728"/>
      </c:barChart>
      <c:lineChart>
        <c:grouping val="standard"/>
        <c:varyColors val="0"/>
        <c:ser>
          <c:idx val="3"/>
          <c:order val="1"/>
          <c:tx>
            <c:strRef>
              <c:f>'eTool Data Analysis'!$E$109</c:f>
              <c:strCache>
                <c:ptCount val="1"/>
                <c:pt idx="0">
                  <c:v>Estimate Period Required Minimum Balances</c:v>
                </c:pt>
              </c:strCache>
            </c:strRef>
          </c:tx>
          <c:spPr>
            <a:ln w="28575" cap="rnd">
              <a:solidFill>
                <a:srgbClr val="92D050"/>
              </a:solidFill>
              <a:round/>
            </a:ln>
            <a:effectLst/>
          </c:spPr>
          <c:marker>
            <c:symbol val="none"/>
          </c:marker>
          <c:val>
            <c:numRef>
              <c:f>'eTool Data Analysis'!$E$110:$E$129</c:f>
              <c:numCache>
                <c:formatCode>"$"#,##0_);[Red]\("$"#,##0\)</c:formatCode>
                <c:ptCount val="20"/>
                <c:pt idx="0">
                  <c:v>50151</c:v>
                </c:pt>
                <c:pt idx="1">
                  <c:v>51154</c:v>
                </c:pt>
                <c:pt idx="2">
                  <c:v>52177</c:v>
                </c:pt>
                <c:pt idx="3">
                  <c:v>53220</c:v>
                </c:pt>
                <c:pt idx="4">
                  <c:v>54285</c:v>
                </c:pt>
                <c:pt idx="5">
                  <c:v>55370</c:v>
                </c:pt>
                <c:pt idx="6">
                  <c:v>56478</c:v>
                </c:pt>
                <c:pt idx="7">
                  <c:v>57607</c:v>
                </c:pt>
                <c:pt idx="8">
                  <c:v>58760</c:v>
                </c:pt>
                <c:pt idx="9">
                  <c:v>59935</c:v>
                </c:pt>
                <c:pt idx="10">
                  <c:v>61133</c:v>
                </c:pt>
                <c:pt idx="11">
                  <c:v>62356</c:v>
                </c:pt>
                <c:pt idx="12">
                  <c:v>63603</c:v>
                </c:pt>
                <c:pt idx="13">
                  <c:v>64875</c:v>
                </c:pt>
                <c:pt idx="14">
                  <c:v>66173</c:v>
                </c:pt>
                <c:pt idx="15">
                  <c:v>67496</c:v>
                </c:pt>
                <c:pt idx="16">
                  <c:v>68846</c:v>
                </c:pt>
                <c:pt idx="17">
                  <c:v>70223</c:v>
                </c:pt>
                <c:pt idx="18">
                  <c:v>71628</c:v>
                </c:pt>
                <c:pt idx="19">
                  <c:v>73060</c:v>
                </c:pt>
              </c:numCache>
            </c:numRef>
          </c:val>
          <c:smooth val="0"/>
          <c:extLst>
            <c:ext xmlns:c16="http://schemas.microsoft.com/office/drawing/2014/chart" uri="{C3380CC4-5D6E-409C-BE32-E72D297353CC}">
              <c16:uniqueId val="{00000003-9E4B-461A-9804-121A3D7A0A90}"/>
            </c:ext>
          </c:extLst>
        </c:ser>
        <c:dLbls>
          <c:showLegendKey val="0"/>
          <c:showVal val="0"/>
          <c:showCatName val="0"/>
          <c:showSerName val="0"/>
          <c:showPercent val="0"/>
          <c:showBubbleSize val="0"/>
        </c:dLbls>
        <c:marker val="1"/>
        <c:smooth val="0"/>
        <c:axId val="646259432"/>
        <c:axId val="646261728"/>
      </c:lineChart>
      <c:catAx>
        <c:axId val="64625943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6261728"/>
        <c:crosses val="autoZero"/>
        <c:auto val="1"/>
        <c:lblAlgn val="ctr"/>
        <c:lblOffset val="100"/>
        <c:noMultiLvlLbl val="0"/>
      </c:catAx>
      <c:valAx>
        <c:axId val="64626172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6259432"/>
        <c:crosses val="autoZero"/>
        <c:crossBetween val="between"/>
      </c:valAx>
      <c:spPr>
        <a:noFill/>
        <a:ln>
          <a:noFill/>
        </a:ln>
        <a:effectLst/>
      </c:spPr>
    </c:plotArea>
    <c:legend>
      <c:legendPos val="b"/>
      <c:layout>
        <c:manualLayout>
          <c:xMode val="edge"/>
          <c:yMode val="edge"/>
          <c:x val="0.15673078371604099"/>
          <c:y val="0.22496389668029693"/>
          <c:w val="0.71809661307108152"/>
          <c:h val="0.12839804895632678"/>
        </c:manualLayout>
      </c:layout>
      <c:overlay val="0"/>
      <c:spPr>
        <a:solidFill>
          <a:schemeClr val="bg1"/>
        </a:solidFill>
        <a:ln>
          <a:solidFill>
            <a:schemeClr val="accent1"/>
          </a:solid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400"/>
              <a:t>Trial Deposits Amortization Test Results for Yr. 11+ </a:t>
            </a:r>
          </a:p>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400"/>
              <a:t>Trial Deposits</a:t>
            </a:r>
            <a:r>
              <a:rPr lang="en-US" sz="1400" baseline="0"/>
              <a:t> RfR </a:t>
            </a:r>
            <a:r>
              <a:rPr lang="en-US" sz="1400"/>
              <a:t>Balance less Required Minimum Balance </a:t>
            </a:r>
          </a:p>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400"/>
              <a:t>vs. Allowable Amortization Offset</a:t>
            </a:r>
          </a:p>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400" b="1" i="0" baseline="0">
                <a:solidFill>
                  <a:srgbClr val="7030A0"/>
                </a:solidFill>
                <a:effectLst/>
              </a:rPr>
              <a:t>(Test is met if Purple Columns are taller than Orange Columns)</a:t>
            </a:r>
            <a:endParaRPr lang="en-US" sz="1400">
              <a:solidFill>
                <a:srgbClr val="7030A0"/>
              </a:solidFill>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endParaRPr lang="en-US" sz="1400"/>
          </a:p>
        </c:rich>
      </c:tx>
      <c:layout>
        <c:manualLayout>
          <c:xMode val="edge"/>
          <c:yMode val="edge"/>
          <c:x val="0.1724245286313478"/>
          <c:y val="3.101054606825197E-2"/>
        </c:manualLayout>
      </c:layout>
      <c:overlay val="1"/>
    </c:title>
    <c:autoTitleDeleted val="0"/>
    <c:plotArea>
      <c:layout>
        <c:manualLayout>
          <c:layoutTarget val="inner"/>
          <c:xMode val="edge"/>
          <c:yMode val="edge"/>
          <c:x val="0.14349756280464943"/>
          <c:y val="0.38578521156907847"/>
          <c:w val="0.80188201474815646"/>
          <c:h val="0.53398441747264291"/>
        </c:manualLayout>
      </c:layout>
      <c:barChart>
        <c:barDir val="col"/>
        <c:grouping val="clustered"/>
        <c:varyColors val="0"/>
        <c:ser>
          <c:idx val="3"/>
          <c:order val="0"/>
          <c:tx>
            <c:strRef>
              <c:f>'eTool Data Engine'!$E$44</c:f>
              <c:strCache>
                <c:ptCount val="1"/>
                <c:pt idx="0">
                  <c:v>Allowance for RfR deficit offset @50.00%</c:v>
                </c:pt>
              </c:strCache>
            </c:strRef>
          </c:tx>
          <c:invertIfNegative val="0"/>
          <c:val>
            <c:numRef>
              <c:f>'eTool Data Engine'!$F$44:$Y$44</c:f>
              <c:numCache>
                <c:formatCode>"$"#,##0_);[Red]\("$"#,##0\)</c:formatCode>
                <c:ptCount val="20"/>
                <c:pt idx="0">
                  <c:v>90819.301488002762</c:v>
                </c:pt>
                <c:pt idx="1">
                  <c:v>184775.03568828851</c:v>
                </c:pt>
                <c:pt idx="2">
                  <c:v>281975.51889483072</c:v>
                </c:pt>
                <c:pt idx="3">
                  <c:v>382532.80809066817</c:v>
                </c:pt>
                <c:pt idx="4">
                  <c:v>486562.83013210911</c:v>
                </c:pt>
                <c:pt idx="5">
                  <c:v>594185.51539429836</c:v>
                </c:pt>
                <c:pt idx="6">
                  <c:v>705524.93603222165</c:v>
                </c:pt>
                <c:pt idx="7">
                  <c:v>820709.44901652634</c:v>
                </c:pt>
                <c:pt idx="8">
                  <c:v>939871.84410907235</c:v>
                </c:pt>
                <c:pt idx="9">
                  <c:v>1063149.4969487991</c:v>
                </c:pt>
                <c:pt idx="10">
                  <c:v>1190684.5274243876</c:v>
                </c:pt>
                <c:pt idx="11">
                  <c:v>1322623.9635163136</c:v>
                </c:pt>
                <c:pt idx="12">
                  <c:v>1459119.9107971424</c:v>
                </c:pt>
                <c:pt idx="13">
                  <c:v>1600329.7277855258</c:v>
                </c:pt>
                <c:pt idx="14">
                  <c:v>1746416.207355991</c:v>
                </c:pt>
                <c:pt idx="15">
                  <c:v>1897547.7644137293</c:v>
                </c:pt>
                <c:pt idx="16">
                  <c:v>2053898.6300506722</c:v>
                </c:pt>
                <c:pt idx="17">
                  <c:v>2215649.0524067585</c:v>
                </c:pt>
                <c:pt idx="18">
                  <c:v>2382985.5044678799</c:v>
                </c:pt>
                <c:pt idx="19">
                  <c:v>2556100.8990401491</c:v>
                </c:pt>
              </c:numCache>
            </c:numRef>
          </c:val>
          <c:extLst>
            <c:ext xmlns:c16="http://schemas.microsoft.com/office/drawing/2014/chart" uri="{C3380CC4-5D6E-409C-BE32-E72D297353CC}">
              <c16:uniqueId val="{00000000-4DE3-4923-916F-D68571C821AF}"/>
            </c:ext>
          </c:extLst>
        </c:ser>
        <c:ser>
          <c:idx val="4"/>
          <c:order val="1"/>
          <c:tx>
            <c:strRef>
              <c:f>'eTool Data Engine'!$E$58</c:f>
              <c:strCache>
                <c:ptCount val="1"/>
                <c:pt idx="0">
                  <c:v>Trial Deposit results Total to Offset (Ending Bal. minus Req. Min.)</c:v>
                </c:pt>
              </c:strCache>
            </c:strRef>
          </c:tx>
          <c:spPr>
            <a:solidFill>
              <a:srgbClr val="FFC000"/>
            </a:solidFill>
          </c:spPr>
          <c:invertIfNegative val="0"/>
          <c:val>
            <c:numRef>
              <c:f>'eTool Data Engine'!$F$58:$Y$58</c:f>
              <c:numCache>
                <c:formatCode>"$"#,##0_);[Red]\("$"#,##0\)</c:formatCode>
                <c:ptCount val="20"/>
                <c:pt idx="0">
                  <c:v>-171649</c:v>
                </c:pt>
                <c:pt idx="1">
                  <c:v>-179078</c:v>
                </c:pt>
                <c:pt idx="2">
                  <c:v>-125210.4</c:v>
                </c:pt>
                <c:pt idx="3">
                  <c:v>-98998.129399999976</c:v>
                </c:pt>
                <c:pt idx="4">
                  <c:v>-70087.558108999976</c:v>
                </c:pt>
                <c:pt idx="5">
                  <c:v>-43886.946383994975</c:v>
                </c:pt>
                <c:pt idx="6">
                  <c:v>-46199.81648118209</c:v>
                </c:pt>
                <c:pt idx="7">
                  <c:v>-25127.959947855561</c:v>
                </c:pt>
                <c:pt idx="8">
                  <c:v>-18169.840090918253</c:v>
                </c:pt>
                <c:pt idx="9">
                  <c:v>-11566.620551003783</c:v>
                </c:pt>
                <c:pt idx="10">
                  <c:v>98115.765624834967</c:v>
                </c:pt>
                <c:pt idx="11">
                  <c:v>203395.95431862085</c:v>
                </c:pt>
                <c:pt idx="12">
                  <c:v>235438.76678628245</c:v>
                </c:pt>
                <c:pt idx="13">
                  <c:v>280859.35550329729</c:v>
                </c:pt>
                <c:pt idx="14">
                  <c:v>374061.67599465244</c:v>
                </c:pt>
                <c:pt idx="15">
                  <c:v>362591.48289583466</c:v>
                </c:pt>
                <c:pt idx="16">
                  <c:v>336760.32593504054</c:v>
                </c:pt>
                <c:pt idx="17">
                  <c:v>354238.5458350305</c:v>
                </c:pt>
                <c:pt idx="18">
                  <c:v>364233.2701330203</c:v>
                </c:pt>
                <c:pt idx="19">
                  <c:v>633306.4089169699</c:v>
                </c:pt>
              </c:numCache>
            </c:numRef>
          </c:val>
          <c:extLst>
            <c:ext xmlns:c16="http://schemas.microsoft.com/office/drawing/2014/chart" uri="{C3380CC4-5D6E-409C-BE32-E72D297353CC}">
              <c16:uniqueId val="{00000001-4DE3-4923-916F-D68571C821AF}"/>
            </c:ext>
          </c:extLst>
        </c:ser>
        <c:dLbls>
          <c:showLegendKey val="0"/>
          <c:showVal val="0"/>
          <c:showCatName val="0"/>
          <c:showSerName val="0"/>
          <c:showPercent val="0"/>
          <c:showBubbleSize val="0"/>
        </c:dLbls>
        <c:gapWidth val="150"/>
        <c:axId val="92180864"/>
        <c:axId val="92182784"/>
      </c:barChart>
      <c:catAx>
        <c:axId val="92180864"/>
        <c:scaling>
          <c:orientation val="minMax"/>
        </c:scaling>
        <c:delete val="0"/>
        <c:axPos val="b"/>
        <c:numFmt formatCode="General" sourceLinked="0"/>
        <c:majorTickMark val="out"/>
        <c:minorTickMark val="none"/>
        <c:tickLblPos val="nextTo"/>
        <c:txPr>
          <a:bodyPr/>
          <a:lstStyle/>
          <a:p>
            <a:pPr>
              <a:defRPr sz="600"/>
            </a:pPr>
            <a:endParaRPr lang="en-US"/>
          </a:p>
        </c:txPr>
        <c:crossAx val="92182784"/>
        <c:crosses val="autoZero"/>
        <c:auto val="1"/>
        <c:lblAlgn val="ctr"/>
        <c:lblOffset val="100"/>
        <c:noMultiLvlLbl val="0"/>
      </c:catAx>
      <c:valAx>
        <c:axId val="92182784"/>
        <c:scaling>
          <c:orientation val="minMax"/>
        </c:scaling>
        <c:delete val="0"/>
        <c:axPos val="l"/>
        <c:majorGridlines/>
        <c:numFmt formatCode="&quot;$&quot;#,##0" sourceLinked="0"/>
        <c:majorTickMark val="out"/>
        <c:minorTickMark val="none"/>
        <c:tickLblPos val="nextTo"/>
        <c:txPr>
          <a:bodyPr/>
          <a:lstStyle/>
          <a:p>
            <a:pPr>
              <a:defRPr sz="900"/>
            </a:pPr>
            <a:endParaRPr lang="en-US"/>
          </a:p>
        </c:txPr>
        <c:crossAx val="92180864"/>
        <c:crosses val="autoZero"/>
        <c:crossBetween val="between"/>
      </c:valAx>
    </c:plotArea>
    <c:legend>
      <c:legendPos val="t"/>
      <c:layout>
        <c:manualLayout>
          <c:xMode val="edge"/>
          <c:yMode val="edge"/>
          <c:x val="0.25881070255881256"/>
          <c:y val="0.28814260031437466"/>
          <c:w val="0.58735286904675854"/>
          <c:h val="9.6895378767071674E-2"/>
        </c:manualLayout>
      </c:layout>
      <c:overlay val="1"/>
      <c:spPr>
        <a:solidFill>
          <a:schemeClr val="bg1"/>
        </a:solidFill>
        <a:ln>
          <a:solidFill>
            <a:schemeClr val="accent1"/>
          </a:solidFill>
        </a:ln>
      </c:spPr>
      <c:txPr>
        <a:bodyPr/>
        <a:lstStyle/>
        <a:p>
          <a:pPr>
            <a:defRPr sz="1050"/>
          </a:pPr>
          <a:endParaRPr lang="en-US"/>
        </a:p>
      </c:txPr>
    </c:legend>
    <c:plotVisOnly val="1"/>
    <c:dispBlanksAs val="gap"/>
    <c:showDLblsOverMax val="0"/>
  </c:chart>
  <c:spPr>
    <a:ln w="19050">
      <a:solidFill>
        <a:schemeClr val="tx1"/>
      </a:solidFill>
    </a:ln>
  </c:spPr>
  <c:printSettings>
    <c:headerFooter/>
    <c:pageMargins b="0.75000000000000033" l="0.70000000000000029" r="0.70000000000000029" t="0.75000000000000033" header="0.30000000000000016" footer="0.30000000000000016"/>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Trial</a:t>
            </a:r>
            <a:r>
              <a:rPr lang="en-US" sz="1600" baseline="0"/>
              <a:t> Deposits </a:t>
            </a:r>
            <a:r>
              <a:rPr lang="en-US" sz="1600"/>
              <a:t>Required Minimum Balance Test Results </a:t>
            </a:r>
          </a:p>
          <a:p>
            <a:pPr>
              <a:defRPr sz="1600"/>
            </a:pPr>
            <a:r>
              <a:rPr lang="en-US" sz="1600"/>
              <a:t>Trial Deposits RfR Balances vs</a:t>
            </a:r>
            <a:r>
              <a:rPr lang="en-US" sz="1600" baseline="0"/>
              <a:t> </a:t>
            </a:r>
            <a:r>
              <a:rPr lang="en-US" sz="1600"/>
              <a:t>Required Minimum Balance</a:t>
            </a:r>
          </a:p>
          <a:p>
            <a:pPr>
              <a:defRPr sz="1600"/>
            </a:pPr>
            <a:r>
              <a:rPr lang="en-US" sz="1600">
                <a:solidFill>
                  <a:srgbClr val="0070C0"/>
                </a:solidFill>
              </a:rPr>
              <a:t>(Test is met if Blue Columns are taller</a:t>
            </a:r>
            <a:r>
              <a:rPr lang="en-US" sz="1600" baseline="0">
                <a:solidFill>
                  <a:srgbClr val="0070C0"/>
                </a:solidFill>
              </a:rPr>
              <a:t> than Green Columns*)</a:t>
            </a:r>
            <a:r>
              <a:rPr lang="en-US" sz="1600">
                <a:solidFill>
                  <a:srgbClr val="0070C0"/>
                </a:solidFill>
              </a:rPr>
              <a:t> </a:t>
            </a:r>
          </a:p>
        </c:rich>
      </c:tx>
      <c:overlay val="1"/>
      <c:spPr>
        <a:ln w="28575"/>
      </c:spPr>
    </c:title>
    <c:autoTitleDeleted val="0"/>
    <c:plotArea>
      <c:layout>
        <c:manualLayout>
          <c:layoutTarget val="inner"/>
          <c:xMode val="edge"/>
          <c:yMode val="edge"/>
          <c:x val="0.12762467191601035"/>
          <c:y val="0.34392149228893021"/>
          <c:w val="0.81775501073729451"/>
          <c:h val="0.57584819892769623"/>
        </c:manualLayout>
      </c:layout>
      <c:barChart>
        <c:barDir val="col"/>
        <c:grouping val="clustered"/>
        <c:varyColors val="0"/>
        <c:ser>
          <c:idx val="0"/>
          <c:order val="0"/>
          <c:tx>
            <c:strRef>
              <c:f>'eTool Data Engine'!$E$46</c:f>
              <c:strCache>
                <c:ptCount val="1"/>
                <c:pt idx="0">
                  <c:v>Trial Deposit results Ending RfR Balance</c:v>
                </c:pt>
              </c:strCache>
            </c:strRef>
          </c:tx>
          <c:invertIfNegative val="0"/>
          <c:val>
            <c:numRef>
              <c:f>'eTool Data Engine'!$F$46:$Y$46</c:f>
              <c:numCache>
                <c:formatCode>"$"#,##0_);[Red]\("$"#,##0\)</c:formatCode>
                <c:ptCount val="20"/>
                <c:pt idx="0">
                  <c:v>221800</c:v>
                </c:pt>
                <c:pt idx="1">
                  <c:v>230232</c:v>
                </c:pt>
                <c:pt idx="2">
                  <c:v>177387.4</c:v>
                </c:pt>
                <c:pt idx="3">
                  <c:v>152218.12939999998</c:v>
                </c:pt>
                <c:pt idx="4">
                  <c:v>124372.55810899998</c:v>
                </c:pt>
                <c:pt idx="5">
                  <c:v>99256.946383994975</c:v>
                </c:pt>
                <c:pt idx="6">
                  <c:v>102677.81648118209</c:v>
                </c:pt>
                <c:pt idx="7">
                  <c:v>82734.959947855561</c:v>
                </c:pt>
                <c:pt idx="8">
                  <c:v>76929.840090918253</c:v>
                </c:pt>
                <c:pt idx="9">
                  <c:v>71501.620551003783</c:v>
                </c:pt>
                <c:pt idx="10">
                  <c:v>-36982.765624834967</c:v>
                </c:pt>
                <c:pt idx="11">
                  <c:v>-141039.95431862085</c:v>
                </c:pt>
                <c:pt idx="12">
                  <c:v>-171835.76678628245</c:v>
                </c:pt>
                <c:pt idx="13">
                  <c:v>-215984.35550329729</c:v>
                </c:pt>
                <c:pt idx="14">
                  <c:v>-307888.67599465244</c:v>
                </c:pt>
                <c:pt idx="15">
                  <c:v>-295095.48289583466</c:v>
                </c:pt>
                <c:pt idx="16">
                  <c:v>-267914.32593504054</c:v>
                </c:pt>
                <c:pt idx="17">
                  <c:v>-284015.5458350305</c:v>
                </c:pt>
                <c:pt idx="18">
                  <c:v>-292605.2701330203</c:v>
                </c:pt>
                <c:pt idx="19">
                  <c:v>-560246.4089169699</c:v>
                </c:pt>
              </c:numCache>
            </c:numRef>
          </c:val>
          <c:extLst xmlns:c15="http://schemas.microsoft.com/office/drawing/2012/chart">
            <c:ext xmlns:c16="http://schemas.microsoft.com/office/drawing/2014/chart" uri="{C3380CC4-5D6E-409C-BE32-E72D297353CC}">
              <c16:uniqueId val="{00000000-34FA-44D3-8EE7-DE58C0FD9C2E}"/>
            </c:ext>
          </c:extLst>
        </c:ser>
        <c:ser>
          <c:idx val="1"/>
          <c:order val="2"/>
          <c:tx>
            <c:strRef>
              <c:f>'eTool Data Engine'!$E$56</c:f>
              <c:strCache>
                <c:ptCount val="1"/>
                <c:pt idx="0">
                  <c:v>Minimum Required Balance</c:v>
                </c:pt>
              </c:strCache>
            </c:strRef>
          </c:tx>
          <c:spPr>
            <a:solidFill>
              <a:srgbClr val="92D050"/>
            </a:solidFill>
          </c:spPr>
          <c:invertIfNegative val="0"/>
          <c:val>
            <c:numRef>
              <c:f>'eTool Data Engine'!$F$56:$Y$56</c:f>
              <c:numCache>
                <c:formatCode>"$"#,##0_);[Red]\("$"#,##0\)</c:formatCode>
                <c:ptCount val="20"/>
                <c:pt idx="0">
                  <c:v>50151</c:v>
                </c:pt>
                <c:pt idx="1">
                  <c:v>51154</c:v>
                </c:pt>
                <c:pt idx="2">
                  <c:v>52177</c:v>
                </c:pt>
                <c:pt idx="3">
                  <c:v>53220</c:v>
                </c:pt>
                <c:pt idx="4">
                  <c:v>54285</c:v>
                </c:pt>
                <c:pt idx="5">
                  <c:v>55370</c:v>
                </c:pt>
                <c:pt idx="6">
                  <c:v>56478</c:v>
                </c:pt>
                <c:pt idx="7">
                  <c:v>57607</c:v>
                </c:pt>
                <c:pt idx="8">
                  <c:v>58760</c:v>
                </c:pt>
                <c:pt idx="9">
                  <c:v>59935</c:v>
                </c:pt>
                <c:pt idx="10">
                  <c:v>61133</c:v>
                </c:pt>
                <c:pt idx="11">
                  <c:v>62356</c:v>
                </c:pt>
                <c:pt idx="12">
                  <c:v>63603</c:v>
                </c:pt>
                <c:pt idx="13">
                  <c:v>64875</c:v>
                </c:pt>
                <c:pt idx="14">
                  <c:v>66173</c:v>
                </c:pt>
                <c:pt idx="15">
                  <c:v>67496</c:v>
                </c:pt>
                <c:pt idx="16">
                  <c:v>68846</c:v>
                </c:pt>
                <c:pt idx="17">
                  <c:v>70223</c:v>
                </c:pt>
                <c:pt idx="18">
                  <c:v>71628</c:v>
                </c:pt>
                <c:pt idx="19">
                  <c:v>73060</c:v>
                </c:pt>
              </c:numCache>
            </c:numRef>
          </c:val>
          <c:extLst>
            <c:ext xmlns:c16="http://schemas.microsoft.com/office/drawing/2014/chart" uri="{C3380CC4-5D6E-409C-BE32-E72D297353CC}">
              <c16:uniqueId val="{00000001-34FA-44D3-8EE7-DE58C0FD9C2E}"/>
            </c:ext>
          </c:extLst>
        </c:ser>
        <c:dLbls>
          <c:showLegendKey val="0"/>
          <c:showVal val="0"/>
          <c:showCatName val="0"/>
          <c:showSerName val="0"/>
          <c:showPercent val="0"/>
          <c:showBubbleSize val="0"/>
        </c:dLbls>
        <c:gapWidth val="150"/>
        <c:axId val="92180864"/>
        <c:axId val="92182784"/>
        <c:extLst>
          <c:ext xmlns:c15="http://schemas.microsoft.com/office/drawing/2012/chart" uri="{02D57815-91ED-43cb-92C2-25804820EDAC}">
            <c15:filteredBarSeries>
              <c15:ser>
                <c:idx val="2"/>
                <c:order val="1"/>
                <c:tx>
                  <c:strRef>
                    <c:extLst>
                      <c:ext uri="{02D57815-91ED-43cb-92C2-25804820EDAC}">
                        <c15:formulaRef>
                          <c15:sqref>'eTool Data Engine'!$E$60</c15:sqref>
                        </c15:formulaRef>
                      </c:ext>
                    </c:extLst>
                    <c:strCache>
                      <c:ptCount val="1"/>
                    </c:strCache>
                  </c:strRef>
                </c:tx>
                <c:invertIfNegative val="0"/>
                <c:val>
                  <c:numRef>
                    <c:extLst>
                      <c:ext uri="{02D57815-91ED-43cb-92C2-25804820EDAC}">
                        <c15:formulaRef>
                          <c15:sqref>'eTool Data Engine'!$F$60:$Y$60</c15:sqref>
                        </c15:formulaRef>
                      </c:ext>
                    </c:extLst>
                    <c:numCache>
                      <c:formatCode>"$"#,##0_);[Red]\("$"#,##0\)</c:formatCode>
                      <c:ptCount val="20"/>
                    </c:numCache>
                  </c:numRef>
                </c:val>
                <c:extLst>
                  <c:ext xmlns:c16="http://schemas.microsoft.com/office/drawing/2014/chart" uri="{C3380CC4-5D6E-409C-BE32-E72D297353CC}">
                    <c16:uniqueId val="{00000002-34FA-44D3-8EE7-DE58C0FD9C2E}"/>
                  </c:ext>
                </c:extLst>
              </c15:ser>
            </c15:filteredBarSeries>
          </c:ext>
        </c:extLst>
      </c:barChart>
      <c:catAx>
        <c:axId val="92180864"/>
        <c:scaling>
          <c:orientation val="minMax"/>
        </c:scaling>
        <c:delete val="0"/>
        <c:axPos val="b"/>
        <c:numFmt formatCode="General" sourceLinked="0"/>
        <c:majorTickMark val="out"/>
        <c:minorTickMark val="none"/>
        <c:tickLblPos val="nextTo"/>
        <c:txPr>
          <a:bodyPr/>
          <a:lstStyle/>
          <a:p>
            <a:pPr>
              <a:defRPr sz="600"/>
            </a:pPr>
            <a:endParaRPr lang="en-US"/>
          </a:p>
        </c:txPr>
        <c:crossAx val="92182784"/>
        <c:crosses val="autoZero"/>
        <c:auto val="1"/>
        <c:lblAlgn val="ctr"/>
        <c:lblOffset val="100"/>
        <c:noMultiLvlLbl val="0"/>
      </c:catAx>
      <c:valAx>
        <c:axId val="92182784"/>
        <c:scaling>
          <c:orientation val="minMax"/>
        </c:scaling>
        <c:delete val="0"/>
        <c:axPos val="l"/>
        <c:majorGridlines/>
        <c:numFmt formatCode="&quot;$&quot;#,##0_);[Red]\(&quot;$&quot;#,##0\)" sourceLinked="1"/>
        <c:majorTickMark val="out"/>
        <c:minorTickMark val="none"/>
        <c:tickLblPos val="nextTo"/>
        <c:txPr>
          <a:bodyPr/>
          <a:lstStyle/>
          <a:p>
            <a:pPr>
              <a:defRPr sz="900"/>
            </a:pPr>
            <a:endParaRPr lang="en-US"/>
          </a:p>
        </c:txPr>
        <c:crossAx val="92180864"/>
        <c:crosses val="autoZero"/>
        <c:crossBetween val="between"/>
      </c:valAx>
    </c:plotArea>
    <c:legend>
      <c:legendPos val="t"/>
      <c:layout>
        <c:manualLayout>
          <c:xMode val="edge"/>
          <c:yMode val="edge"/>
          <c:x val="0.26953212830504097"/>
          <c:y val="0.21410737806436392"/>
          <c:w val="0.47493620699225286"/>
          <c:h val="9.7096614134610515E-2"/>
        </c:manualLayout>
      </c:layout>
      <c:overlay val="1"/>
      <c:spPr>
        <a:solidFill>
          <a:schemeClr val="bg1"/>
        </a:solidFill>
        <a:ln>
          <a:solidFill>
            <a:schemeClr val="accent1"/>
          </a:solidFill>
        </a:ln>
      </c:spPr>
      <c:txPr>
        <a:bodyPr/>
        <a:lstStyle/>
        <a:p>
          <a:pPr>
            <a:defRPr sz="1200"/>
          </a:pPr>
          <a:endParaRPr lang="en-US"/>
        </a:p>
      </c:txPr>
    </c:legend>
    <c:plotVisOnly val="1"/>
    <c:dispBlanksAs val="gap"/>
    <c:showDLblsOverMax val="0"/>
  </c:chart>
  <c:spPr>
    <a:ln w="19050">
      <a:solidFill>
        <a:schemeClr val="tx1"/>
      </a:solidFill>
    </a:ln>
  </c:spPr>
  <c:printSettings>
    <c:headerFooter/>
    <c:pageMargins b="0.75000000000000033" l="0.70000000000000029" r="0.70000000000000029" t="0.75000000000000033" header="0.30000000000000016" footer="0.30000000000000016"/>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jpg"/><Relationship Id="rId5" Type="http://schemas.openxmlformats.org/officeDocument/2006/relationships/image" Target="../media/image5.png"/><Relationship Id="rId4" Type="http://schemas.openxmlformats.org/officeDocument/2006/relationships/image" Target="../media/image4.png"/></Relationships>
</file>

<file path=xl/drawings/_rels/drawing11.xml.rels><?xml version="1.0" encoding="UTF-8" standalone="yes"?>
<Relationships xmlns="http://schemas.openxmlformats.org/package/2006/relationships"><Relationship Id="rId8" Type="http://schemas.openxmlformats.org/officeDocument/2006/relationships/chart" Target="../charts/chart38.xml"/><Relationship Id="rId3" Type="http://schemas.openxmlformats.org/officeDocument/2006/relationships/chart" Target="../charts/chart33.xml"/><Relationship Id="rId7" Type="http://schemas.openxmlformats.org/officeDocument/2006/relationships/chart" Target="../charts/chart37.xml"/><Relationship Id="rId2" Type="http://schemas.openxmlformats.org/officeDocument/2006/relationships/chart" Target="../charts/chart32.xml"/><Relationship Id="rId1" Type="http://schemas.openxmlformats.org/officeDocument/2006/relationships/chart" Target="../charts/chart31.xml"/><Relationship Id="rId6" Type="http://schemas.openxmlformats.org/officeDocument/2006/relationships/chart" Target="../charts/chart36.xml"/><Relationship Id="rId5" Type="http://schemas.openxmlformats.org/officeDocument/2006/relationships/chart" Target="../charts/chart35.xml"/><Relationship Id="rId4" Type="http://schemas.openxmlformats.org/officeDocument/2006/relationships/chart" Target="../charts/chart34.xml"/><Relationship Id="rId9" Type="http://schemas.openxmlformats.org/officeDocument/2006/relationships/chart" Target="../charts/chart39.xml"/></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8" Type="http://schemas.openxmlformats.org/officeDocument/2006/relationships/chart" Target="../charts/chart21.xml"/><Relationship Id="rId3" Type="http://schemas.openxmlformats.org/officeDocument/2006/relationships/chart" Target="../charts/chart16.xml"/><Relationship Id="rId7" Type="http://schemas.openxmlformats.org/officeDocument/2006/relationships/chart" Target="../charts/chart20.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 Id="rId9" Type="http://schemas.openxmlformats.org/officeDocument/2006/relationships/chart" Target="../charts/chart22.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5.xml"/><Relationship Id="rId7" Type="http://schemas.openxmlformats.org/officeDocument/2006/relationships/chart" Target="../charts/chart29.xml"/><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chart" Target="../charts/chart28.xml"/><Relationship Id="rId5" Type="http://schemas.openxmlformats.org/officeDocument/2006/relationships/chart" Target="../charts/chart27.xml"/><Relationship Id="rId4" Type="http://schemas.openxmlformats.org/officeDocument/2006/relationships/chart" Target="../charts/chart2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editAs="oneCell">
    <xdr:from>
      <xdr:col>2</xdr:col>
      <xdr:colOff>414300</xdr:colOff>
      <xdr:row>57</xdr:row>
      <xdr:rowOff>33300</xdr:rowOff>
    </xdr:from>
    <xdr:to>
      <xdr:col>3</xdr:col>
      <xdr:colOff>5510175</xdr:colOff>
      <xdr:row>72</xdr:row>
      <xdr:rowOff>4725</xdr:rowOff>
    </xdr:to>
    <xdr:pic>
      <xdr:nvPicPr>
        <xdr:cNvPr id="12" name="Picture 11">
          <a:extLst>
            <a:ext uri="{FF2B5EF4-FFF2-40B4-BE49-F238E27FC236}">
              <a16:creationId xmlns:a16="http://schemas.microsoft.com/office/drawing/2014/main" id="{F579AD55-2558-4F0F-B601-C022FDDE38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57325" y="25827000"/>
          <a:ext cx="6448425" cy="2828925"/>
        </a:xfrm>
        <a:prstGeom prst="rect">
          <a:avLst/>
        </a:prstGeom>
      </xdr:spPr>
    </xdr:pic>
    <xdr:clientData/>
  </xdr:twoCellAnchor>
  <xdr:twoCellAnchor editAs="oneCell">
    <xdr:from>
      <xdr:col>2</xdr:col>
      <xdr:colOff>316650</xdr:colOff>
      <xdr:row>73</xdr:row>
      <xdr:rowOff>107100</xdr:rowOff>
    </xdr:from>
    <xdr:to>
      <xdr:col>3</xdr:col>
      <xdr:colOff>5306957</xdr:colOff>
      <xdr:row>91</xdr:row>
      <xdr:rowOff>106671</xdr:rowOff>
    </xdr:to>
    <xdr:pic>
      <xdr:nvPicPr>
        <xdr:cNvPr id="14" name="Picture 13">
          <a:extLst>
            <a:ext uri="{FF2B5EF4-FFF2-40B4-BE49-F238E27FC236}">
              <a16:creationId xmlns:a16="http://schemas.microsoft.com/office/drawing/2014/main" id="{D9A53E71-FA3F-48E5-97E1-F3A7EB0483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659675" y="28948800"/>
          <a:ext cx="6342857" cy="3428571"/>
        </a:xfrm>
        <a:prstGeom prst="rect">
          <a:avLst/>
        </a:prstGeom>
      </xdr:spPr>
    </xdr:pic>
    <xdr:clientData/>
  </xdr:twoCellAnchor>
  <xdr:twoCellAnchor editAs="oneCell">
    <xdr:from>
      <xdr:col>2</xdr:col>
      <xdr:colOff>466650</xdr:colOff>
      <xdr:row>94</xdr:row>
      <xdr:rowOff>85650</xdr:rowOff>
    </xdr:from>
    <xdr:to>
      <xdr:col>3</xdr:col>
      <xdr:colOff>5505375</xdr:colOff>
      <xdr:row>109</xdr:row>
      <xdr:rowOff>190425</xdr:rowOff>
    </xdr:to>
    <xdr:pic>
      <xdr:nvPicPr>
        <xdr:cNvPr id="16" name="Picture 15">
          <a:extLst>
            <a:ext uri="{FF2B5EF4-FFF2-40B4-BE49-F238E27FC236}">
              <a16:creationId xmlns:a16="http://schemas.microsoft.com/office/drawing/2014/main" id="{5901C20D-17B0-468F-A967-C84B6DB7DCC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809675" y="32927850"/>
          <a:ext cx="6391275" cy="2962275"/>
        </a:xfrm>
        <a:prstGeom prst="rect">
          <a:avLst/>
        </a:prstGeom>
      </xdr:spPr>
    </xdr:pic>
    <xdr:clientData/>
  </xdr:twoCellAnchor>
  <xdr:twoCellAnchor editAs="oneCell">
    <xdr:from>
      <xdr:col>2</xdr:col>
      <xdr:colOff>438150</xdr:colOff>
      <xdr:row>39</xdr:row>
      <xdr:rowOff>161925</xdr:rowOff>
    </xdr:from>
    <xdr:to>
      <xdr:col>3</xdr:col>
      <xdr:colOff>5142743</xdr:colOff>
      <xdr:row>46</xdr:row>
      <xdr:rowOff>114139</xdr:rowOff>
    </xdr:to>
    <xdr:pic>
      <xdr:nvPicPr>
        <xdr:cNvPr id="2" name="Picture 1">
          <a:extLst>
            <a:ext uri="{FF2B5EF4-FFF2-40B4-BE49-F238E27FC236}">
              <a16:creationId xmlns:a16="http://schemas.microsoft.com/office/drawing/2014/main" id="{F14FA23B-6D4C-47B3-84B1-F2B3DA59AF52}"/>
            </a:ext>
          </a:extLst>
        </xdr:cNvPr>
        <xdr:cNvPicPr>
          <a:picLocks noChangeAspect="1"/>
        </xdr:cNvPicPr>
      </xdr:nvPicPr>
      <xdr:blipFill>
        <a:blip xmlns:r="http://schemas.openxmlformats.org/officeDocument/2006/relationships" r:embed="rId4"/>
        <a:stretch>
          <a:fillRect/>
        </a:stretch>
      </xdr:blipFill>
      <xdr:spPr>
        <a:xfrm>
          <a:off x="1781175" y="22907625"/>
          <a:ext cx="6057143" cy="1285714"/>
        </a:xfrm>
        <a:prstGeom prst="rect">
          <a:avLst/>
        </a:prstGeom>
      </xdr:spPr>
    </xdr:pic>
    <xdr:clientData/>
  </xdr:twoCellAnchor>
  <xdr:twoCellAnchor editAs="oneCell">
    <xdr:from>
      <xdr:col>2</xdr:col>
      <xdr:colOff>340500</xdr:colOff>
      <xdr:row>47</xdr:row>
      <xdr:rowOff>102375</xdr:rowOff>
    </xdr:from>
    <xdr:to>
      <xdr:col>3</xdr:col>
      <xdr:colOff>5216521</xdr:colOff>
      <xdr:row>54</xdr:row>
      <xdr:rowOff>159351</xdr:rowOff>
    </xdr:to>
    <xdr:pic>
      <xdr:nvPicPr>
        <xdr:cNvPr id="3" name="Picture 2">
          <a:extLst>
            <a:ext uri="{FF2B5EF4-FFF2-40B4-BE49-F238E27FC236}">
              <a16:creationId xmlns:a16="http://schemas.microsoft.com/office/drawing/2014/main" id="{8EBC8B03-A0DE-4D48-A4C5-005F761BE011}"/>
            </a:ext>
          </a:extLst>
        </xdr:cNvPr>
        <xdr:cNvPicPr>
          <a:picLocks noChangeAspect="1"/>
        </xdr:cNvPicPr>
      </xdr:nvPicPr>
      <xdr:blipFill>
        <a:blip xmlns:r="http://schemas.openxmlformats.org/officeDocument/2006/relationships" r:embed="rId5"/>
        <a:stretch>
          <a:fillRect/>
        </a:stretch>
      </xdr:blipFill>
      <xdr:spPr>
        <a:xfrm>
          <a:off x="1683525" y="24372075"/>
          <a:ext cx="6228571" cy="139047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9</xdr:col>
      <xdr:colOff>314325</xdr:colOff>
      <xdr:row>1</xdr:row>
      <xdr:rowOff>28575</xdr:rowOff>
    </xdr:from>
    <xdr:to>
      <xdr:col>12</xdr:col>
      <xdr:colOff>247650</xdr:colOff>
      <xdr:row>6</xdr:row>
      <xdr:rowOff>28575</xdr:rowOff>
    </xdr:to>
    <xdr:sp macro="" textlink="">
      <xdr:nvSpPr>
        <xdr:cNvPr id="3" name="TextBox 2">
          <a:extLst>
            <a:ext uri="{FF2B5EF4-FFF2-40B4-BE49-F238E27FC236}">
              <a16:creationId xmlns:a16="http://schemas.microsoft.com/office/drawing/2014/main" id="{1542BCD0-2DA4-4A49-8516-B02F6D041F24}"/>
            </a:ext>
          </a:extLst>
        </xdr:cNvPr>
        <xdr:cNvSpPr txBox="1"/>
      </xdr:nvSpPr>
      <xdr:spPr>
        <a:xfrm>
          <a:off x="10915650" y="3686175"/>
          <a:ext cx="2847975"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100"/>
            <a:t>Note 1: MAP Guidelines require only that RY1 and RY2 RfR ending balances be &gt;$0, so</a:t>
          </a:r>
          <a:r>
            <a:rPr lang="en-US" sz="1100" baseline="0"/>
            <a:t> that meeting the RY1 and RY2 Minimum Balances is not required. A Negative RfR balance in either RY1 or RY2 is a MAP Guideline violation.</a:t>
          </a:r>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133351</xdr:colOff>
      <xdr:row>128</xdr:row>
      <xdr:rowOff>88900</xdr:rowOff>
    </xdr:from>
    <xdr:to>
      <xdr:col>12</xdr:col>
      <xdr:colOff>114301</xdr:colOff>
      <xdr:row>153</xdr:row>
      <xdr:rowOff>25400</xdr:rowOff>
    </xdr:to>
    <xdr:graphicFrame macro="">
      <xdr:nvGraphicFramePr>
        <xdr:cNvPr id="3" name="Chart 2">
          <a:extLst>
            <a:ext uri="{FF2B5EF4-FFF2-40B4-BE49-F238E27FC236}">
              <a16:creationId xmlns:a16="http://schemas.microsoft.com/office/drawing/2014/main" id="{00000000-0008-0000-0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365124</xdr:colOff>
      <xdr:row>128</xdr:row>
      <xdr:rowOff>85724</xdr:rowOff>
    </xdr:from>
    <xdr:to>
      <xdr:col>17</xdr:col>
      <xdr:colOff>622300</xdr:colOff>
      <xdr:row>153</xdr:row>
      <xdr:rowOff>38099</xdr:rowOff>
    </xdr:to>
    <xdr:graphicFrame macro="">
      <xdr:nvGraphicFramePr>
        <xdr:cNvPr id="4" name="Chart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1006474</xdr:colOff>
      <xdr:row>128</xdr:row>
      <xdr:rowOff>168274</xdr:rowOff>
    </xdr:from>
    <xdr:to>
      <xdr:col>22</xdr:col>
      <xdr:colOff>1092200</xdr:colOff>
      <xdr:row>153</xdr:row>
      <xdr:rowOff>12700</xdr:rowOff>
    </xdr:to>
    <xdr:graphicFrame macro="">
      <xdr:nvGraphicFramePr>
        <xdr:cNvPr id="5" name="Chart 4">
          <a:extLst>
            <a:ext uri="{FF2B5EF4-FFF2-40B4-BE49-F238E27FC236}">
              <a16:creationId xmlns:a16="http://schemas.microsoft.com/office/drawing/2014/main" id="{00000000-0008-0000-09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133349</xdr:colOff>
      <xdr:row>154</xdr:row>
      <xdr:rowOff>63500</xdr:rowOff>
    </xdr:from>
    <xdr:to>
      <xdr:col>12</xdr:col>
      <xdr:colOff>165100</xdr:colOff>
      <xdr:row>179</xdr:row>
      <xdr:rowOff>165100</xdr:rowOff>
    </xdr:to>
    <xdr:graphicFrame macro="">
      <xdr:nvGraphicFramePr>
        <xdr:cNvPr id="7" name="Chart 6">
          <a:extLst>
            <a:ext uri="{FF2B5EF4-FFF2-40B4-BE49-F238E27FC236}">
              <a16:creationId xmlns:a16="http://schemas.microsoft.com/office/drawing/2014/main" id="{00000000-0008-0000-09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377824</xdr:colOff>
      <xdr:row>154</xdr:row>
      <xdr:rowOff>114299</xdr:rowOff>
    </xdr:from>
    <xdr:to>
      <xdr:col>17</xdr:col>
      <xdr:colOff>685800</xdr:colOff>
      <xdr:row>180</xdr:row>
      <xdr:rowOff>0</xdr:rowOff>
    </xdr:to>
    <xdr:graphicFrame macro="">
      <xdr:nvGraphicFramePr>
        <xdr:cNvPr id="8" name="Chart 7">
          <a:extLst>
            <a:ext uri="{FF2B5EF4-FFF2-40B4-BE49-F238E27FC236}">
              <a16:creationId xmlns:a16="http://schemas.microsoft.com/office/drawing/2014/main" id="{00000000-0008-0000-09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987425</xdr:colOff>
      <xdr:row>154</xdr:row>
      <xdr:rowOff>22225</xdr:rowOff>
    </xdr:from>
    <xdr:to>
      <xdr:col>22</xdr:col>
      <xdr:colOff>1244600</xdr:colOff>
      <xdr:row>179</xdr:row>
      <xdr:rowOff>165100</xdr:rowOff>
    </xdr:to>
    <xdr:graphicFrame macro="">
      <xdr:nvGraphicFramePr>
        <xdr:cNvPr id="9" name="Chart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190500</xdr:colOff>
      <xdr:row>180</xdr:row>
      <xdr:rowOff>177800</xdr:rowOff>
    </xdr:from>
    <xdr:to>
      <xdr:col>12</xdr:col>
      <xdr:colOff>190500</xdr:colOff>
      <xdr:row>205</xdr:row>
      <xdr:rowOff>0</xdr:rowOff>
    </xdr:to>
    <xdr:graphicFrame macro="">
      <xdr:nvGraphicFramePr>
        <xdr:cNvPr id="10" name="Chart 9">
          <a:extLst>
            <a:ext uri="{FF2B5EF4-FFF2-40B4-BE49-F238E27FC236}">
              <a16:creationId xmlns:a16="http://schemas.microsoft.com/office/drawing/2014/main"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393700</xdr:colOff>
      <xdr:row>181</xdr:row>
      <xdr:rowOff>63500</xdr:rowOff>
    </xdr:from>
    <xdr:to>
      <xdr:col>17</xdr:col>
      <xdr:colOff>762000</xdr:colOff>
      <xdr:row>205</xdr:row>
      <xdr:rowOff>76200</xdr:rowOff>
    </xdr:to>
    <xdr:graphicFrame macro="">
      <xdr:nvGraphicFramePr>
        <xdr:cNvPr id="11" name="Chart 10">
          <a:extLst>
            <a:ext uri="{FF2B5EF4-FFF2-40B4-BE49-F238E27FC236}">
              <a16:creationId xmlns:a16="http://schemas.microsoft.com/office/drawing/2014/main"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1000125</xdr:colOff>
      <xdr:row>181</xdr:row>
      <xdr:rowOff>35718</xdr:rowOff>
    </xdr:from>
    <xdr:to>
      <xdr:col>22</xdr:col>
      <xdr:colOff>1297782</xdr:colOff>
      <xdr:row>205</xdr:row>
      <xdr:rowOff>48418</xdr:rowOff>
    </xdr:to>
    <xdr:graphicFrame macro="">
      <xdr:nvGraphicFramePr>
        <xdr:cNvPr id="13" name="Chart 12">
          <a:extLst>
            <a:ext uri="{FF2B5EF4-FFF2-40B4-BE49-F238E27FC236}">
              <a16:creationId xmlns:a16="http://schemas.microsoft.com/office/drawing/2014/main" id="{00000000-0008-0000-09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122767</xdr:colOff>
      <xdr:row>85</xdr:row>
      <xdr:rowOff>176741</xdr:rowOff>
    </xdr:from>
    <xdr:to>
      <xdr:col>8</xdr:col>
      <xdr:colOff>719667</xdr:colOff>
      <xdr:row>87</xdr:row>
      <xdr:rowOff>473075</xdr:rowOff>
    </xdr:to>
    <xdr:sp macro="" textlink="">
      <xdr:nvSpPr>
        <xdr:cNvPr id="2" name="Speech Bubble: Rectangle 1">
          <a:extLst>
            <a:ext uri="{FF2B5EF4-FFF2-40B4-BE49-F238E27FC236}">
              <a16:creationId xmlns:a16="http://schemas.microsoft.com/office/drawing/2014/main" id="{00000000-0008-0000-0900-000002000000}"/>
            </a:ext>
          </a:extLst>
        </xdr:cNvPr>
        <xdr:cNvSpPr/>
      </xdr:nvSpPr>
      <xdr:spPr>
        <a:xfrm>
          <a:off x="465667" y="16302566"/>
          <a:ext cx="5959475" cy="677334"/>
        </a:xfrm>
        <a:prstGeom prst="wedgeRectCallou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1"/>
            <a:t>THIS</a:t>
          </a:r>
          <a:r>
            <a:rPr lang="en-US" sz="1200" b="1" baseline="0"/>
            <a:t> WHOLE SECTION IS NOT RELEVANT OR APPROPRIATE SINCE THERE IS NO 10-YEAR AVERAGE REQUIRED MINIMUM BALANCE TEST. ALL REFERENCES TO THE 10 YEAR AVG ARE APPROPRIATELY NOW TRANSFERED TO THE 20 YEAR AVERAGE (SEE BELOW)</a:t>
          </a:r>
          <a:endParaRPr lang="en-US" sz="1200" b="1"/>
        </a:p>
      </xdr:txBody>
    </xdr:sp>
    <xdr:clientData/>
  </xdr:twoCellAnchor>
  <xdr:twoCellAnchor>
    <xdr:from>
      <xdr:col>8</xdr:col>
      <xdr:colOff>371475</xdr:colOff>
      <xdr:row>103</xdr:row>
      <xdr:rowOff>66675</xdr:rowOff>
    </xdr:from>
    <xdr:to>
      <xdr:col>12</xdr:col>
      <xdr:colOff>1200150</xdr:colOff>
      <xdr:row>105</xdr:row>
      <xdr:rowOff>142875</xdr:rowOff>
    </xdr:to>
    <xdr:sp macro="" textlink="">
      <xdr:nvSpPr>
        <xdr:cNvPr id="12" name="TextBox 1">
          <a:extLst>
            <a:ext uri="{FF2B5EF4-FFF2-40B4-BE49-F238E27FC236}">
              <a16:creationId xmlns:a16="http://schemas.microsoft.com/office/drawing/2014/main" id="{00000000-0008-0000-0900-00000C000000}"/>
            </a:ext>
          </a:extLst>
        </xdr:cNvPr>
        <xdr:cNvSpPr txBox="1"/>
      </xdr:nvSpPr>
      <xdr:spPr>
        <a:xfrm>
          <a:off x="6076950" y="19964400"/>
          <a:ext cx="6686550" cy="4762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100"/>
            <a:t>Note 1: MAP Guidelines require only that RY1 and RY2 RfR ending balances be &gt;$0, so</a:t>
          </a:r>
          <a:r>
            <a:rPr lang="en-US" sz="1100" baseline="0"/>
            <a:t> that meeting the RY1 and RY2 Minimum Balances is not required. A Negative RfR balance in either RY1 or RY2 is a MAP Guideline violation.</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285750</xdr:colOff>
      <xdr:row>0</xdr:row>
      <xdr:rowOff>200024</xdr:rowOff>
    </xdr:from>
    <xdr:to>
      <xdr:col>21</xdr:col>
      <xdr:colOff>295275</xdr:colOff>
      <xdr:row>25</xdr:row>
      <xdr:rowOff>47625</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307180</xdr:colOff>
      <xdr:row>26</xdr:row>
      <xdr:rowOff>54769</xdr:rowOff>
    </xdr:from>
    <xdr:to>
      <xdr:col>15</xdr:col>
      <xdr:colOff>116680</xdr:colOff>
      <xdr:row>39</xdr:row>
      <xdr:rowOff>45243</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228600</xdr:colOff>
      <xdr:row>26</xdr:row>
      <xdr:rowOff>28575</xdr:rowOff>
    </xdr:from>
    <xdr:to>
      <xdr:col>21</xdr:col>
      <xdr:colOff>276225</xdr:colOff>
      <xdr:row>39</xdr:row>
      <xdr:rowOff>19049</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0.13366</cdr:x>
      <cdr:y>0.90444</cdr:y>
    </cdr:from>
    <cdr:to>
      <cdr:x>0.95833</cdr:x>
      <cdr:y>1</cdr:y>
    </cdr:to>
    <cdr:sp macro="" textlink="">
      <cdr:nvSpPr>
        <cdr:cNvPr id="2" name="TextBox 1">
          <a:extLst xmlns:a="http://schemas.openxmlformats.org/drawingml/2006/main">
            <a:ext uri="{FF2B5EF4-FFF2-40B4-BE49-F238E27FC236}">
              <a16:creationId xmlns:a16="http://schemas.microsoft.com/office/drawing/2014/main" id="{1377CBB5-4F07-4D42-8A8F-251269D35DEC}"/>
            </a:ext>
          </a:extLst>
        </cdr:cNvPr>
        <cdr:cNvSpPr txBox="1"/>
      </cdr:nvSpPr>
      <cdr:spPr>
        <a:xfrm xmlns:a="http://schemas.openxmlformats.org/drawingml/2006/main">
          <a:off x="1028700" y="3816352"/>
          <a:ext cx="6346825" cy="403224"/>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50"/>
            <a:t>Note: MAP Guidelines require only that RY1 and RY2 RfR ending balances be &gt;$0, so</a:t>
          </a:r>
          <a:r>
            <a:rPr lang="en-US" sz="1050" baseline="0"/>
            <a:t> that meeting the RY1 and RY2 Minimum Balances is not required. A Negative RfR balance in either RY1 or RY2 is a MAP Guideline violation.</a:t>
          </a:r>
          <a:endParaRPr lang="en-US" sz="1050"/>
        </a:p>
      </cdr:txBody>
    </cdr:sp>
  </cdr:relSizeAnchor>
</c:userShapes>
</file>

<file path=xl/drawings/drawing4.xml><?xml version="1.0" encoding="utf-8"?>
<xdr:wsDr xmlns:xdr="http://schemas.openxmlformats.org/drawingml/2006/spreadsheetDrawing" xmlns:a="http://schemas.openxmlformats.org/drawingml/2006/main">
  <xdr:twoCellAnchor>
    <xdr:from>
      <xdr:col>11</xdr:col>
      <xdr:colOff>66675</xdr:colOff>
      <xdr:row>24</xdr:row>
      <xdr:rowOff>106892</xdr:rowOff>
    </xdr:from>
    <xdr:to>
      <xdr:col>16</xdr:col>
      <xdr:colOff>1417109</xdr:colOff>
      <xdr:row>39</xdr:row>
      <xdr:rowOff>514350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88899</xdr:colOff>
      <xdr:row>6</xdr:row>
      <xdr:rowOff>9525</xdr:rowOff>
    </xdr:from>
    <xdr:to>
      <xdr:col>16</xdr:col>
      <xdr:colOff>1390649</xdr:colOff>
      <xdr:row>23</xdr:row>
      <xdr:rowOff>124884</xdr:rowOff>
    </xdr:to>
    <xdr:graphicFrame macro="">
      <xdr:nvGraphicFramePr>
        <xdr:cNvPr id="4" name="Chart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158749</xdr:colOff>
      <xdr:row>80</xdr:row>
      <xdr:rowOff>190500</xdr:rowOff>
    </xdr:from>
    <xdr:to>
      <xdr:col>16</xdr:col>
      <xdr:colOff>1397000</xdr:colOff>
      <xdr:row>100</xdr:row>
      <xdr:rowOff>0</xdr:rowOff>
    </xdr:to>
    <xdr:graphicFrame macro="">
      <xdr:nvGraphicFramePr>
        <xdr:cNvPr id="5" name="Chart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419100</xdr:colOff>
      <xdr:row>17</xdr:row>
      <xdr:rowOff>114300</xdr:rowOff>
    </xdr:from>
    <xdr:to>
      <xdr:col>14</xdr:col>
      <xdr:colOff>733425</xdr:colOff>
      <xdr:row>21</xdr:row>
      <xdr:rowOff>314325</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8315325" y="3876675"/>
          <a:ext cx="2847975"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 MAP Guidelines require only that RY1 and RY2 RfR ending balances be &gt;$0, so</a:t>
          </a:r>
          <a:r>
            <a:rPr lang="en-US" sz="1100" baseline="0"/>
            <a:t> that meeting the RY1 and RY2 Minimum Balances is not required. A Negative RfR balance in either RY1 or RY2 is a MAP Guideline violation.</a:t>
          </a:r>
          <a:endParaRPr lang="en-US" sz="1100"/>
        </a:p>
      </xdr:txBody>
    </xdr:sp>
    <xdr:clientData/>
  </xdr:twoCellAnchor>
  <xdr:twoCellAnchor>
    <xdr:from>
      <xdr:col>10</xdr:col>
      <xdr:colOff>114300</xdr:colOff>
      <xdr:row>52</xdr:row>
      <xdr:rowOff>314325</xdr:rowOff>
    </xdr:from>
    <xdr:to>
      <xdr:col>13</xdr:col>
      <xdr:colOff>742950</xdr:colOff>
      <xdr:row>56</xdr:row>
      <xdr:rowOff>133350</xdr:rowOff>
    </xdr:to>
    <xdr:sp macro="" textlink="">
      <xdr:nvSpPr>
        <xdr:cNvPr id="6" name="TextBox 1">
          <a:extLst>
            <a:ext uri="{FF2B5EF4-FFF2-40B4-BE49-F238E27FC236}">
              <a16:creationId xmlns:a16="http://schemas.microsoft.com/office/drawing/2014/main" id="{00000000-0008-0000-0300-000006000000}"/>
            </a:ext>
          </a:extLst>
        </xdr:cNvPr>
        <xdr:cNvSpPr txBox="1"/>
      </xdr:nvSpPr>
      <xdr:spPr>
        <a:xfrm>
          <a:off x="7296150" y="12182475"/>
          <a:ext cx="2847975" cy="952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100"/>
            <a:t>Note 1: MAP Guidelines require only that RY1 and RY2 RfR ending balances be &gt;$0, so</a:t>
          </a:r>
          <a:r>
            <a:rPr lang="en-US" sz="1100" baseline="0"/>
            <a:t> that meeting the RY1 and RY2 Minimum Balances is not required. A Negative RfR balance in either RY1 or RY2 is a MAP Guideline violation.</a:t>
          </a:r>
          <a:endParaRPr lang="en-US" sz="1100"/>
        </a:p>
      </xdr:txBody>
    </xdr:sp>
    <xdr:clientData/>
  </xdr:twoCellAnchor>
  <xdr:twoCellAnchor>
    <xdr:from>
      <xdr:col>8</xdr:col>
      <xdr:colOff>228599</xdr:colOff>
      <xdr:row>107</xdr:row>
      <xdr:rowOff>85725</xdr:rowOff>
    </xdr:from>
    <xdr:to>
      <xdr:col>15</xdr:col>
      <xdr:colOff>876300</xdr:colOff>
      <xdr:row>128</xdr:row>
      <xdr:rowOff>19050</xdr:rowOff>
    </xdr:to>
    <xdr:graphicFrame macro="">
      <xdr:nvGraphicFramePr>
        <xdr:cNvPr id="9" name="Chart 8">
          <a:extLst>
            <a:ext uri="{FF2B5EF4-FFF2-40B4-BE49-F238E27FC236}">
              <a16:creationId xmlns:a16="http://schemas.microsoft.com/office/drawing/2014/main" id="{44C0E5D4-4358-4806-A109-992702720D4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11</xdr:col>
      <xdr:colOff>28575</xdr:colOff>
      <xdr:row>25</xdr:row>
      <xdr:rowOff>159204</xdr:rowOff>
    </xdr:from>
    <xdr:to>
      <xdr:col>20</xdr:col>
      <xdr:colOff>19049</xdr:colOff>
      <xdr:row>45</xdr:row>
      <xdr:rowOff>57150</xdr:rowOff>
    </xdr:to>
    <xdr:graphicFrame macro="">
      <xdr:nvGraphicFramePr>
        <xdr:cNvPr id="3" name="Chart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6</xdr:row>
      <xdr:rowOff>0</xdr:rowOff>
    </xdr:from>
    <xdr:to>
      <xdr:col>20</xdr:col>
      <xdr:colOff>0</xdr:colOff>
      <xdr:row>22</xdr:row>
      <xdr:rowOff>104775</xdr:rowOff>
    </xdr:to>
    <xdr:graphicFrame macro="">
      <xdr:nvGraphicFramePr>
        <xdr:cNvPr id="4" name="Chart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133348</xdr:colOff>
      <xdr:row>61</xdr:row>
      <xdr:rowOff>133351</xdr:rowOff>
    </xdr:from>
    <xdr:to>
      <xdr:col>19</xdr:col>
      <xdr:colOff>2619375</xdr:colOff>
      <xdr:row>81</xdr:row>
      <xdr:rowOff>47625</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85725</xdr:colOff>
      <xdr:row>106</xdr:row>
      <xdr:rowOff>9524</xdr:rowOff>
    </xdr:from>
    <xdr:to>
      <xdr:col>34</xdr:col>
      <xdr:colOff>28575</xdr:colOff>
      <xdr:row>118</xdr:row>
      <xdr:rowOff>161924</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27</xdr:col>
      <xdr:colOff>19050</xdr:colOff>
      <xdr:row>120</xdr:row>
      <xdr:rowOff>0</xdr:rowOff>
    </xdr:from>
    <xdr:to>
      <xdr:col>34</xdr:col>
      <xdr:colOff>323850</xdr:colOff>
      <xdr:row>131</xdr:row>
      <xdr:rowOff>9525</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27</xdr:col>
      <xdr:colOff>0</xdr:colOff>
      <xdr:row>87</xdr:row>
      <xdr:rowOff>104775</xdr:rowOff>
    </xdr:from>
    <xdr:to>
      <xdr:col>38</xdr:col>
      <xdr:colOff>142875</xdr:colOff>
      <xdr:row>104</xdr:row>
      <xdr:rowOff>28574</xdr:rowOff>
    </xdr:to>
    <xdr:graphicFrame macro="">
      <xdr:nvGraphicFramePr>
        <xdr:cNvPr id="7" name="Chart 6">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47625</xdr:colOff>
      <xdr:row>49</xdr:row>
      <xdr:rowOff>295275</xdr:rowOff>
    </xdr:from>
    <xdr:to>
      <xdr:col>14</xdr:col>
      <xdr:colOff>647700</xdr:colOff>
      <xdr:row>53</xdr:row>
      <xdr:rowOff>142875</xdr:rowOff>
    </xdr:to>
    <xdr:sp macro="" textlink="">
      <xdr:nvSpPr>
        <xdr:cNvPr id="9" name="TextBox 1">
          <a:extLst>
            <a:ext uri="{FF2B5EF4-FFF2-40B4-BE49-F238E27FC236}">
              <a16:creationId xmlns:a16="http://schemas.microsoft.com/office/drawing/2014/main" id="{00000000-0008-0000-0400-000009000000}"/>
            </a:ext>
          </a:extLst>
        </xdr:cNvPr>
        <xdr:cNvSpPr txBox="1"/>
      </xdr:nvSpPr>
      <xdr:spPr>
        <a:xfrm>
          <a:off x="7439025" y="11182350"/>
          <a:ext cx="2847975" cy="952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US" sz="1100"/>
            <a:t>Note 1: MAP Guidelines require only that RY1 and RY2 RfR ending balances be &gt;$0, so</a:t>
          </a:r>
          <a:r>
            <a:rPr lang="en-US" sz="1100" baseline="0"/>
            <a:t> that meeting the RY1 and RY2 Minimum Balances is not required. A Negative RfR balance in either RY1 or RY2 is a MAP Guideline violation.</a:t>
          </a:r>
          <a:endParaRPr lang="en-US" sz="1100"/>
        </a:p>
      </xdr:txBody>
    </xdr:sp>
    <xdr:clientData/>
  </xdr:twoCellAnchor>
</xdr:wsDr>
</file>

<file path=xl/drawings/drawing6.xml><?xml version="1.0" encoding="utf-8"?>
<c:userShapes xmlns:c="http://schemas.openxmlformats.org/drawingml/2006/chart">
  <cdr:relSizeAnchor xmlns:cdr="http://schemas.openxmlformats.org/drawingml/2006/chartDrawing">
    <cdr:from>
      <cdr:x>0.13657</cdr:x>
      <cdr:y>0.67124</cdr:y>
    </cdr:from>
    <cdr:to>
      <cdr:x>0.55185</cdr:x>
      <cdr:y>0.90731</cdr:y>
    </cdr:to>
    <cdr:sp macro="" textlink="">
      <cdr:nvSpPr>
        <cdr:cNvPr id="2" name="TextBox 1">
          <a:extLst xmlns:a="http://schemas.openxmlformats.org/drawingml/2006/main">
            <a:ext uri="{FF2B5EF4-FFF2-40B4-BE49-F238E27FC236}">
              <a16:creationId xmlns:a16="http://schemas.microsoft.com/office/drawing/2014/main" id="{EE44EA4B-D04E-49D6-9025-55FE6983F599}"/>
            </a:ext>
          </a:extLst>
        </cdr:cNvPr>
        <cdr:cNvSpPr txBox="1"/>
      </cdr:nvSpPr>
      <cdr:spPr>
        <a:xfrm xmlns:a="http://schemas.openxmlformats.org/drawingml/2006/main">
          <a:off x="936625" y="2708275"/>
          <a:ext cx="2847975" cy="952500"/>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100"/>
            <a:t>*Note: MAP Guidelines require only that RY1 and RY2 RfR ending balances be &gt;$0, so</a:t>
          </a:r>
          <a:r>
            <a:rPr lang="en-US" sz="1100" baseline="0"/>
            <a:t> that meeting the RY1 and RY2 Minimum Balances is not required. A Negative RfR balance in either RY1 or RY2 is a MAP Guideline violation.</a:t>
          </a:r>
          <a:endParaRPr lang="en-US" sz="1100"/>
        </a:p>
      </cdr:txBody>
    </cdr:sp>
  </cdr:relSizeAnchor>
</c:userShapes>
</file>

<file path=xl/drawings/drawing7.xml><?xml version="1.0" encoding="utf-8"?>
<xdr:wsDr xmlns:xdr="http://schemas.openxmlformats.org/drawingml/2006/spreadsheetDrawing" xmlns:a="http://schemas.openxmlformats.org/drawingml/2006/main">
  <xdr:twoCellAnchor>
    <xdr:from>
      <xdr:col>1</xdr:col>
      <xdr:colOff>114301</xdr:colOff>
      <xdr:row>28</xdr:row>
      <xdr:rowOff>133350</xdr:rowOff>
    </xdr:from>
    <xdr:to>
      <xdr:col>6</xdr:col>
      <xdr:colOff>57150</xdr:colOff>
      <xdr:row>53</xdr:row>
      <xdr:rowOff>19050</xdr:rowOff>
    </xdr:to>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390524</xdr:colOff>
      <xdr:row>28</xdr:row>
      <xdr:rowOff>123825</xdr:rowOff>
    </xdr:from>
    <xdr:to>
      <xdr:col>11</xdr:col>
      <xdr:colOff>752475</xdr:colOff>
      <xdr:row>53</xdr:row>
      <xdr:rowOff>0</xdr:rowOff>
    </xdr:to>
    <xdr:graphicFrame macro="">
      <xdr:nvGraphicFramePr>
        <xdr:cNvPr id="3" name="Chart 2">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942975</xdr:colOff>
      <xdr:row>28</xdr:row>
      <xdr:rowOff>133351</xdr:rowOff>
    </xdr:from>
    <xdr:to>
      <xdr:col>16</xdr:col>
      <xdr:colOff>1009650</xdr:colOff>
      <xdr:row>52</xdr:row>
      <xdr:rowOff>95251</xdr:rowOff>
    </xdr:to>
    <xdr:graphicFrame macro="">
      <xdr:nvGraphicFramePr>
        <xdr:cNvPr id="4" name="Chart 3">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123824</xdr:colOff>
      <xdr:row>55</xdr:row>
      <xdr:rowOff>0</xdr:rowOff>
    </xdr:from>
    <xdr:to>
      <xdr:col>5</xdr:col>
      <xdr:colOff>1069975</xdr:colOff>
      <xdr:row>80</xdr:row>
      <xdr:rowOff>155575</xdr:rowOff>
    </xdr:to>
    <xdr:graphicFrame macro="">
      <xdr:nvGraphicFramePr>
        <xdr:cNvPr id="5" name="Chart 4">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384173</xdr:colOff>
      <xdr:row>54</xdr:row>
      <xdr:rowOff>146051</xdr:rowOff>
    </xdr:from>
    <xdr:to>
      <xdr:col>11</xdr:col>
      <xdr:colOff>565149</xdr:colOff>
      <xdr:row>80</xdr:row>
      <xdr:rowOff>50801</xdr:rowOff>
    </xdr:to>
    <xdr:graphicFrame macro="">
      <xdr:nvGraphicFramePr>
        <xdr:cNvPr id="6" name="Chart 5">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917575</xdr:colOff>
      <xdr:row>54</xdr:row>
      <xdr:rowOff>146050</xdr:rowOff>
    </xdr:from>
    <xdr:to>
      <xdr:col>16</xdr:col>
      <xdr:colOff>1063625</xdr:colOff>
      <xdr:row>80</xdr:row>
      <xdr:rowOff>63500</xdr:rowOff>
    </xdr:to>
    <xdr:graphicFrame macro="">
      <xdr:nvGraphicFramePr>
        <xdr:cNvPr id="7" name="Chart 6">
          <a:extLst>
            <a:ext uri="{FF2B5EF4-FFF2-40B4-BE49-F238E27FC236}">
              <a16:creationId xmlns:a16="http://schemas.microsoft.com/office/drawing/2014/main" id="{00000000-0008-0000-06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406400</xdr:colOff>
      <xdr:row>4</xdr:row>
      <xdr:rowOff>3175</xdr:rowOff>
    </xdr:from>
    <xdr:to>
      <xdr:col>11</xdr:col>
      <xdr:colOff>679450</xdr:colOff>
      <xdr:row>28</xdr:row>
      <xdr:rowOff>22225</xdr:rowOff>
    </xdr:to>
    <xdr:graphicFrame macro="">
      <xdr:nvGraphicFramePr>
        <xdr:cNvPr id="9" name="Chart 8">
          <a:extLst>
            <a:ext uri="{FF2B5EF4-FFF2-40B4-BE49-F238E27FC236}">
              <a16:creationId xmlns:a16="http://schemas.microsoft.com/office/drawing/2014/main" id="{00000000-0008-0000-06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914400</xdr:colOff>
      <xdr:row>3</xdr:row>
      <xdr:rowOff>180974</xdr:rowOff>
    </xdr:from>
    <xdr:to>
      <xdr:col>16</xdr:col>
      <xdr:colOff>1009650</xdr:colOff>
      <xdr:row>28</xdr:row>
      <xdr:rowOff>57149</xdr:rowOff>
    </xdr:to>
    <xdr:graphicFrame macro="">
      <xdr:nvGraphicFramePr>
        <xdr:cNvPr id="12" name="Chart 11">
          <a:extLst>
            <a:ext uri="{FF2B5EF4-FFF2-40B4-BE49-F238E27FC236}">
              <a16:creationId xmlns:a16="http://schemas.microsoft.com/office/drawing/2014/main" id="{00000000-0008-0000-06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142875</xdr:colOff>
      <xdr:row>4</xdr:row>
      <xdr:rowOff>19050</xdr:rowOff>
    </xdr:from>
    <xdr:to>
      <xdr:col>6</xdr:col>
      <xdr:colOff>44450</xdr:colOff>
      <xdr:row>28</xdr:row>
      <xdr:rowOff>38100</xdr:rowOff>
    </xdr:to>
    <xdr:graphicFrame macro="">
      <xdr:nvGraphicFramePr>
        <xdr:cNvPr id="11" name="Chart 10">
          <a:extLst>
            <a:ext uri="{FF2B5EF4-FFF2-40B4-BE49-F238E27FC236}">
              <a16:creationId xmlns:a16="http://schemas.microsoft.com/office/drawing/2014/main" id="{00000000-0008-0000-06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22</xdr:col>
      <xdr:colOff>581025</xdr:colOff>
      <xdr:row>71</xdr:row>
      <xdr:rowOff>133350</xdr:rowOff>
    </xdr:from>
    <xdr:to>
      <xdr:col>28</xdr:col>
      <xdr:colOff>9525</xdr:colOff>
      <xdr:row>86</xdr:row>
      <xdr:rowOff>19050</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123825</xdr:colOff>
      <xdr:row>71</xdr:row>
      <xdr:rowOff>133350</xdr:rowOff>
    </xdr:from>
    <xdr:to>
      <xdr:col>22</xdr:col>
      <xdr:colOff>409575</xdr:colOff>
      <xdr:row>86</xdr:row>
      <xdr:rowOff>19050</xdr:rowOff>
    </xdr:to>
    <xdr:graphicFrame macro="">
      <xdr:nvGraphicFramePr>
        <xdr:cNvPr id="3" name="Chart 2">
          <a:extLst>
            <a:ext uri="{FF2B5EF4-FFF2-40B4-BE49-F238E27FC236}">
              <a16:creationId xmlns:a16="http://schemas.microsoft.com/office/drawing/2014/main" id="{00000000-0008-0000-0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495300</xdr:colOff>
      <xdr:row>71</xdr:row>
      <xdr:rowOff>123825</xdr:rowOff>
    </xdr:from>
    <xdr:to>
      <xdr:col>16</xdr:col>
      <xdr:colOff>781050</xdr:colOff>
      <xdr:row>86</xdr:row>
      <xdr:rowOff>9525</xdr:rowOff>
    </xdr:to>
    <xdr:graphicFrame macro="">
      <xdr:nvGraphicFramePr>
        <xdr:cNvPr id="4" name="Chart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47625</xdr:colOff>
      <xdr:row>71</xdr:row>
      <xdr:rowOff>114300</xdr:rowOff>
    </xdr:from>
    <xdr:to>
      <xdr:col>11</xdr:col>
      <xdr:colOff>352425</xdr:colOff>
      <xdr:row>86</xdr:row>
      <xdr:rowOff>0</xdr:rowOff>
    </xdr:to>
    <xdr:graphicFrame macro="">
      <xdr:nvGraphicFramePr>
        <xdr:cNvPr id="5" name="Chart 4">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576262</xdr:colOff>
      <xdr:row>87</xdr:row>
      <xdr:rowOff>166687</xdr:rowOff>
    </xdr:from>
    <xdr:to>
      <xdr:col>17</xdr:col>
      <xdr:colOff>4762</xdr:colOff>
      <xdr:row>102</xdr:row>
      <xdr:rowOff>52387</xdr:rowOff>
    </xdr:to>
    <xdr:graphicFrame macro="">
      <xdr:nvGraphicFramePr>
        <xdr:cNvPr id="6" name="Chart 5">
          <a:extLst>
            <a:ext uri="{FF2B5EF4-FFF2-40B4-BE49-F238E27FC236}">
              <a16:creationId xmlns:a16="http://schemas.microsoft.com/office/drawing/2014/main" id="{00000000-0008-0000-07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33337</xdr:colOff>
      <xdr:row>87</xdr:row>
      <xdr:rowOff>138112</xdr:rowOff>
    </xdr:from>
    <xdr:to>
      <xdr:col>11</xdr:col>
      <xdr:colOff>338137</xdr:colOff>
      <xdr:row>102</xdr:row>
      <xdr:rowOff>23812</xdr:rowOff>
    </xdr:to>
    <xdr:graphicFrame macro="">
      <xdr:nvGraphicFramePr>
        <xdr:cNvPr id="7" name="Chart 6">
          <a:extLst>
            <a:ext uri="{FF2B5EF4-FFF2-40B4-BE49-F238E27FC236}">
              <a16:creationId xmlns:a16="http://schemas.microsoft.com/office/drawing/2014/main" id="{00000000-0008-0000-07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17</xdr:col>
      <xdr:colOff>242887</xdr:colOff>
      <xdr:row>87</xdr:row>
      <xdr:rowOff>157162</xdr:rowOff>
    </xdr:from>
    <xdr:to>
      <xdr:col>22</xdr:col>
      <xdr:colOff>528637</xdr:colOff>
      <xdr:row>103</xdr:row>
      <xdr:rowOff>42862</xdr:rowOff>
    </xdr:to>
    <xdr:graphicFrame macro="">
      <xdr:nvGraphicFramePr>
        <xdr:cNvPr id="8" name="Chart 7">
          <a:extLst>
            <a:ext uri="{FF2B5EF4-FFF2-40B4-BE49-F238E27FC236}">
              <a16:creationId xmlns:a16="http://schemas.microsoft.com/office/drawing/2014/main" id="{00000000-0008-0000-07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13</xdr:col>
      <xdr:colOff>300039</xdr:colOff>
      <xdr:row>7</xdr:row>
      <xdr:rowOff>66674</xdr:rowOff>
    </xdr:from>
    <xdr:to>
      <xdr:col>22</xdr:col>
      <xdr:colOff>547688</xdr:colOff>
      <xdr:row>21</xdr:row>
      <xdr:rowOff>150017</xdr:rowOff>
    </xdr:to>
    <xdr:graphicFrame macro="">
      <xdr:nvGraphicFramePr>
        <xdr:cNvPr id="3" name="Chart 2">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285750</xdr:colOff>
      <xdr:row>11</xdr:row>
      <xdr:rowOff>78317</xdr:rowOff>
    </xdr:from>
    <xdr:to>
      <xdr:col>6</xdr:col>
      <xdr:colOff>552450</xdr:colOff>
      <xdr:row>12</xdr:row>
      <xdr:rowOff>173567</xdr:rowOff>
    </xdr:to>
    <xdr:sp macro="" textlink="">
      <xdr:nvSpPr>
        <xdr:cNvPr id="4" name="Arrow: Up 3">
          <a:extLst>
            <a:ext uri="{FF2B5EF4-FFF2-40B4-BE49-F238E27FC236}">
              <a16:creationId xmlns:a16="http://schemas.microsoft.com/office/drawing/2014/main" id="{00000000-0008-0000-0A00-000004000000}"/>
            </a:ext>
          </a:extLst>
        </xdr:cNvPr>
        <xdr:cNvSpPr/>
      </xdr:nvSpPr>
      <xdr:spPr>
        <a:xfrm>
          <a:off x="4878917" y="3136900"/>
          <a:ext cx="266700" cy="296334"/>
        </a:xfrm>
        <a:prstGeom prst="upArrow">
          <a:avLst/>
        </a:prstGeom>
        <a:solidFill>
          <a:srgbClr val="66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184150</xdr:colOff>
      <xdr:row>21</xdr:row>
      <xdr:rowOff>39158</xdr:rowOff>
    </xdr:from>
    <xdr:to>
      <xdr:col>5</xdr:col>
      <xdr:colOff>450850</xdr:colOff>
      <xdr:row>22</xdr:row>
      <xdr:rowOff>134408</xdr:rowOff>
    </xdr:to>
    <xdr:sp macro="" textlink="">
      <xdr:nvSpPr>
        <xdr:cNvPr id="5" name="Arrow: Up 4">
          <a:extLst>
            <a:ext uri="{FF2B5EF4-FFF2-40B4-BE49-F238E27FC236}">
              <a16:creationId xmlns:a16="http://schemas.microsoft.com/office/drawing/2014/main" id="{00000000-0008-0000-0A00-000005000000}"/>
            </a:ext>
          </a:extLst>
        </xdr:cNvPr>
        <xdr:cNvSpPr/>
      </xdr:nvSpPr>
      <xdr:spPr>
        <a:xfrm>
          <a:off x="4078817" y="5701241"/>
          <a:ext cx="266700" cy="296334"/>
        </a:xfrm>
        <a:prstGeom prst="upArrow">
          <a:avLst/>
        </a:prstGeom>
        <a:solidFill>
          <a:srgbClr val="66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293688</xdr:colOff>
      <xdr:row>31</xdr:row>
      <xdr:rowOff>82019</xdr:rowOff>
    </xdr:from>
    <xdr:to>
      <xdr:col>6</xdr:col>
      <xdr:colOff>560388</xdr:colOff>
      <xdr:row>32</xdr:row>
      <xdr:rowOff>177269</xdr:rowOff>
    </xdr:to>
    <xdr:sp macro="" textlink="">
      <xdr:nvSpPr>
        <xdr:cNvPr id="6" name="Arrow: Up 5">
          <a:extLst>
            <a:ext uri="{FF2B5EF4-FFF2-40B4-BE49-F238E27FC236}">
              <a16:creationId xmlns:a16="http://schemas.microsoft.com/office/drawing/2014/main" id="{00000000-0008-0000-0A00-000006000000}"/>
            </a:ext>
          </a:extLst>
        </xdr:cNvPr>
        <xdr:cNvSpPr/>
      </xdr:nvSpPr>
      <xdr:spPr>
        <a:xfrm>
          <a:off x="4886855" y="8516936"/>
          <a:ext cx="266700" cy="296333"/>
        </a:xfrm>
        <a:prstGeom prst="upArrow">
          <a:avLst/>
        </a:prstGeom>
        <a:solidFill>
          <a:srgbClr val="66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D/Dropbox/HUD%20CNA/CNA%20RfR%20Deposit%20Test%20Tool%20training/Finals/Masters/Sample%20Project,%20FinancialSchedule,%2012.4.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orted"/>
      <sheetName val="Sample Project, FinancialSchedu"/>
    </sheetNames>
    <sheetDataSet>
      <sheetData sheetId="0">
        <row r="1">
          <cell r="A1" t="str">
            <v>Sample Project</v>
          </cell>
          <cell r="B1" t="str">
            <v>Description</v>
          </cell>
          <cell r="C1" t="str">
            <v>Year 01</v>
          </cell>
          <cell r="D1" t="str">
            <v>Year 02</v>
          </cell>
          <cell r="E1" t="str">
            <v>Year 03</v>
          </cell>
          <cell r="F1" t="str">
            <v>Year 04</v>
          </cell>
          <cell r="G1" t="str">
            <v>Year 05</v>
          </cell>
          <cell r="H1" t="str">
            <v>Year 06</v>
          </cell>
          <cell r="I1" t="str">
            <v>Year 07</v>
          </cell>
          <cell r="J1" t="str">
            <v>Year 08</v>
          </cell>
          <cell r="K1" t="str">
            <v>Year 09</v>
          </cell>
          <cell r="L1" t="str">
            <v>Year 10</v>
          </cell>
          <cell r="M1" t="str">
            <v>Year 11</v>
          </cell>
          <cell r="N1" t="str">
            <v>Year 12</v>
          </cell>
          <cell r="O1" t="str">
            <v>Year 13</v>
          </cell>
          <cell r="P1" t="str">
            <v>Year 14</v>
          </cell>
          <cell r="Q1" t="str">
            <v>Year 15</v>
          </cell>
          <cell r="R1" t="str">
            <v>Year 16</v>
          </cell>
          <cell r="S1" t="str">
            <v>Year 17</v>
          </cell>
          <cell r="T1" t="str">
            <v>Year 18</v>
          </cell>
          <cell r="U1" t="str">
            <v>Year 19</v>
          </cell>
          <cell r="V1" t="str">
            <v>Year 20</v>
          </cell>
        </row>
        <row r="2">
          <cell r="A2">
            <v>12345678</v>
          </cell>
          <cell r="B2" t="str">
            <v>Calendar Year</v>
          </cell>
          <cell r="C2">
            <v>2018</v>
          </cell>
          <cell r="D2">
            <v>2019</v>
          </cell>
          <cell r="E2">
            <v>2020</v>
          </cell>
          <cell r="F2">
            <v>2021</v>
          </cell>
          <cell r="G2">
            <v>2022</v>
          </cell>
          <cell r="H2">
            <v>2023</v>
          </cell>
          <cell r="I2">
            <v>2024</v>
          </cell>
          <cell r="J2">
            <v>2025</v>
          </cell>
          <cell r="K2">
            <v>2026</v>
          </cell>
          <cell r="L2">
            <v>2027</v>
          </cell>
          <cell r="M2">
            <v>2028</v>
          </cell>
          <cell r="N2">
            <v>2029</v>
          </cell>
          <cell r="O2">
            <v>2030</v>
          </cell>
          <cell r="P2">
            <v>2031</v>
          </cell>
          <cell r="Q2">
            <v>2032</v>
          </cell>
          <cell r="R2">
            <v>2033</v>
          </cell>
          <cell r="S2">
            <v>2034</v>
          </cell>
          <cell r="T2">
            <v>2035</v>
          </cell>
          <cell r="U2">
            <v>2036</v>
          </cell>
          <cell r="V2">
            <v>2037</v>
          </cell>
        </row>
        <row r="3">
          <cell r="A3">
            <v>43073</v>
          </cell>
          <cell r="B3" t="str">
            <v>Beginning Balance</v>
          </cell>
          <cell r="C3">
            <v>200000</v>
          </cell>
          <cell r="D3">
            <v>221800</v>
          </cell>
          <cell r="E3">
            <v>230232</v>
          </cell>
          <cell r="F3">
            <v>177388</v>
          </cell>
          <cell r="G3">
            <v>152219</v>
          </cell>
          <cell r="H3">
            <v>124373</v>
          </cell>
          <cell r="I3">
            <v>99258</v>
          </cell>
          <cell r="J3">
            <v>102679</v>
          </cell>
          <cell r="K3">
            <v>82736</v>
          </cell>
          <cell r="L3">
            <v>76930</v>
          </cell>
          <cell r="M3">
            <v>71502</v>
          </cell>
          <cell r="N3">
            <v>-36983</v>
          </cell>
          <cell r="O3">
            <v>-141040</v>
          </cell>
          <cell r="P3">
            <v>-171836</v>
          </cell>
          <cell r="Q3">
            <v>-215985</v>
          </cell>
          <cell r="R3">
            <v>-307889</v>
          </cell>
          <cell r="S3">
            <v>-295095</v>
          </cell>
          <cell r="T3">
            <v>-267914</v>
          </cell>
          <cell r="U3">
            <v>-284016</v>
          </cell>
          <cell r="V3">
            <v>-292605</v>
          </cell>
        </row>
        <row r="4">
          <cell r="A4">
            <v>12000000</v>
          </cell>
          <cell r="B4" t="str">
            <v>Interest Income</v>
          </cell>
          <cell r="C4">
            <v>2000</v>
          </cell>
          <cell r="D4">
            <v>2218</v>
          </cell>
          <cell r="E4">
            <v>3453</v>
          </cell>
          <cell r="F4">
            <v>2661</v>
          </cell>
          <cell r="G4">
            <v>2283</v>
          </cell>
          <cell r="H4">
            <v>1866</v>
          </cell>
          <cell r="I4">
            <v>1489</v>
          </cell>
          <cell r="J4">
            <v>1540</v>
          </cell>
          <cell r="K4">
            <v>1241</v>
          </cell>
          <cell r="L4">
            <v>1154</v>
          </cell>
          <cell r="M4">
            <v>1073</v>
          </cell>
          <cell r="N4">
            <v>0</v>
          </cell>
          <cell r="O4">
            <v>0</v>
          </cell>
          <cell r="P4">
            <v>0</v>
          </cell>
          <cell r="Q4">
            <v>0</v>
          </cell>
          <cell r="R4">
            <v>0</v>
          </cell>
          <cell r="S4">
            <v>0</v>
          </cell>
          <cell r="T4">
            <v>0</v>
          </cell>
          <cell r="U4">
            <v>0</v>
          </cell>
          <cell r="V4">
            <v>0</v>
          </cell>
        </row>
        <row r="5">
          <cell r="A5">
            <v>3.4000000000000002E-2</v>
          </cell>
          <cell r="B5" t="str">
            <v>Annual Deposit</v>
          </cell>
          <cell r="C5">
            <v>19800</v>
          </cell>
          <cell r="D5">
            <v>20196</v>
          </cell>
          <cell r="E5">
            <v>20600</v>
          </cell>
          <cell r="F5">
            <v>21012</v>
          </cell>
          <cell r="G5">
            <v>21432</v>
          </cell>
          <cell r="H5">
            <v>21861</v>
          </cell>
          <cell r="I5">
            <v>22298</v>
          </cell>
          <cell r="J5">
            <v>22744</v>
          </cell>
          <cell r="K5">
            <v>23199</v>
          </cell>
          <cell r="L5">
            <v>23663</v>
          </cell>
          <cell r="M5">
            <v>24136</v>
          </cell>
          <cell r="N5">
            <v>24619</v>
          </cell>
          <cell r="O5">
            <v>25111</v>
          </cell>
          <cell r="P5">
            <v>25613</v>
          </cell>
          <cell r="Q5">
            <v>26126</v>
          </cell>
          <cell r="R5">
            <v>26648</v>
          </cell>
          <cell r="S5">
            <v>27181</v>
          </cell>
          <cell r="T5">
            <v>27725</v>
          </cell>
          <cell r="U5">
            <v>28279</v>
          </cell>
          <cell r="V5">
            <v>28845</v>
          </cell>
        </row>
        <row r="6">
          <cell r="A6">
            <v>35</v>
          </cell>
          <cell r="B6" t="str">
            <v>Inflated Needs (Withdrawal)</v>
          </cell>
          <cell r="C6">
            <v>0</v>
          </cell>
          <cell r="D6">
            <v>13982</v>
          </cell>
          <cell r="E6">
            <v>76898</v>
          </cell>
          <cell r="F6">
            <v>48842</v>
          </cell>
          <cell r="G6">
            <v>51561</v>
          </cell>
          <cell r="H6">
            <v>48842</v>
          </cell>
          <cell r="I6">
            <v>20366</v>
          </cell>
          <cell r="J6">
            <v>44227</v>
          </cell>
          <cell r="K6">
            <v>30245</v>
          </cell>
          <cell r="L6">
            <v>30245</v>
          </cell>
          <cell r="M6">
            <v>133693</v>
          </cell>
          <cell r="N6">
            <v>128676</v>
          </cell>
          <cell r="O6">
            <v>55907</v>
          </cell>
          <cell r="P6">
            <v>69762</v>
          </cell>
          <cell r="Q6">
            <v>118030</v>
          </cell>
          <cell r="R6">
            <v>13855</v>
          </cell>
          <cell r="S6">
            <v>0</v>
          </cell>
          <cell r="T6">
            <v>43826</v>
          </cell>
          <cell r="U6">
            <v>36869</v>
          </cell>
          <cell r="V6">
            <v>296486</v>
          </cell>
        </row>
        <row r="7">
          <cell r="A7">
            <v>43191</v>
          </cell>
          <cell r="B7" t="str">
            <v>Ending Balance</v>
          </cell>
          <cell r="C7">
            <v>221800</v>
          </cell>
          <cell r="D7">
            <v>230232</v>
          </cell>
          <cell r="E7">
            <v>177388</v>
          </cell>
          <cell r="F7">
            <v>152219</v>
          </cell>
          <cell r="G7">
            <v>124373</v>
          </cell>
          <cell r="H7">
            <v>99258</v>
          </cell>
          <cell r="I7">
            <v>102679</v>
          </cell>
          <cell r="J7">
            <v>82736</v>
          </cell>
          <cell r="K7">
            <v>76930</v>
          </cell>
          <cell r="L7">
            <v>71502</v>
          </cell>
          <cell r="M7">
            <v>-36983</v>
          </cell>
          <cell r="N7">
            <v>-141040</v>
          </cell>
          <cell r="O7">
            <v>-171836</v>
          </cell>
          <cell r="P7">
            <v>-215985</v>
          </cell>
          <cell r="Q7">
            <v>-307889</v>
          </cell>
          <cell r="R7">
            <v>-295095</v>
          </cell>
          <cell r="S7">
            <v>-267914</v>
          </cell>
          <cell r="T7">
            <v>-284016</v>
          </cell>
          <cell r="U7">
            <v>-292605</v>
          </cell>
          <cell r="V7">
            <v>-560246</v>
          </cell>
        </row>
        <row r="8">
          <cell r="B8" t="str">
            <v>Required Minimum Balance</v>
          </cell>
          <cell r="C8">
            <v>50151</v>
          </cell>
          <cell r="D8">
            <v>51154</v>
          </cell>
          <cell r="E8">
            <v>52177</v>
          </cell>
          <cell r="F8">
            <v>53220</v>
          </cell>
          <cell r="G8">
            <v>54285</v>
          </cell>
          <cell r="H8">
            <v>55370</v>
          </cell>
          <cell r="I8">
            <v>56478</v>
          </cell>
          <cell r="J8">
            <v>57607</v>
          </cell>
          <cell r="K8">
            <v>58760</v>
          </cell>
          <cell r="L8">
            <v>59935</v>
          </cell>
          <cell r="M8">
            <v>61133</v>
          </cell>
          <cell r="N8">
            <v>62356</v>
          </cell>
          <cell r="O8">
            <v>63603</v>
          </cell>
          <cell r="P8">
            <v>64875</v>
          </cell>
          <cell r="Q8">
            <v>66173</v>
          </cell>
          <cell r="R8">
            <v>67496</v>
          </cell>
          <cell r="S8">
            <v>68846</v>
          </cell>
          <cell r="T8">
            <v>70223</v>
          </cell>
          <cell r="U8">
            <v>71628</v>
          </cell>
          <cell r="V8">
            <v>73060</v>
          </cell>
        </row>
        <row r="9">
          <cell r="B9" t="str">
            <v>Interest Rate on Balance</v>
          </cell>
          <cell r="C9">
            <v>0.01</v>
          </cell>
          <cell r="D9">
            <v>0.01</v>
          </cell>
          <cell r="E9">
            <v>1.4999999999999999E-2</v>
          </cell>
          <cell r="F9">
            <v>1.4999999999999999E-2</v>
          </cell>
          <cell r="G9">
            <v>1.4999999999999999E-2</v>
          </cell>
          <cell r="H9">
            <v>1.4999999999999999E-2</v>
          </cell>
          <cell r="I9">
            <v>1.4999999999999999E-2</v>
          </cell>
          <cell r="J9">
            <v>1.4999999999999999E-2</v>
          </cell>
          <cell r="K9">
            <v>1.4999999999999999E-2</v>
          </cell>
          <cell r="L9">
            <v>1.4999999999999999E-2</v>
          </cell>
          <cell r="M9">
            <v>1.4999999999999999E-2</v>
          </cell>
          <cell r="N9">
            <v>1.4999999999999999E-2</v>
          </cell>
          <cell r="O9">
            <v>1.4999999999999999E-2</v>
          </cell>
          <cell r="P9">
            <v>1.4999999999999999E-2</v>
          </cell>
          <cell r="Q9">
            <v>1.4999999999999999E-2</v>
          </cell>
          <cell r="R9">
            <v>1.4999999999999999E-2</v>
          </cell>
          <cell r="S9">
            <v>1.4999999999999999E-2</v>
          </cell>
          <cell r="T9">
            <v>1.4999999999999999E-2</v>
          </cell>
          <cell r="U9">
            <v>1.4999999999999999E-2</v>
          </cell>
          <cell r="V9">
            <v>1.4999999999999999E-2</v>
          </cell>
        </row>
        <row r="10">
          <cell r="B10" t="str">
            <v>Inflation Rate on Deposit</v>
          </cell>
          <cell r="C10">
            <v>0</v>
          </cell>
          <cell r="D10">
            <v>0.02</v>
          </cell>
          <cell r="E10">
            <v>0.02</v>
          </cell>
          <cell r="F10">
            <v>0.02</v>
          </cell>
          <cell r="G10">
            <v>0.02</v>
          </cell>
          <cell r="H10">
            <v>0.02</v>
          </cell>
          <cell r="I10">
            <v>0.02</v>
          </cell>
          <cell r="J10">
            <v>0.02</v>
          </cell>
          <cell r="K10">
            <v>0.02</v>
          </cell>
          <cell r="L10">
            <v>0.02</v>
          </cell>
          <cell r="M10">
            <v>0.02</v>
          </cell>
          <cell r="N10">
            <v>0.02</v>
          </cell>
          <cell r="O10">
            <v>0.02</v>
          </cell>
          <cell r="P10">
            <v>0.02</v>
          </cell>
          <cell r="Q10">
            <v>0.02</v>
          </cell>
          <cell r="R10">
            <v>0.02</v>
          </cell>
          <cell r="S10">
            <v>0.02</v>
          </cell>
          <cell r="T10">
            <v>0.02</v>
          </cell>
          <cell r="U10">
            <v>0.02</v>
          </cell>
          <cell r="V10">
            <v>0.02</v>
          </cell>
        </row>
        <row r="11">
          <cell r="B11" t="str">
            <v>Inflation Rate on Capital Needs</v>
          </cell>
          <cell r="C11">
            <v>0</v>
          </cell>
          <cell r="D11">
            <v>0.02</v>
          </cell>
          <cell r="E11">
            <v>0.02</v>
          </cell>
          <cell r="F11">
            <v>0.02</v>
          </cell>
          <cell r="G11">
            <v>0.02</v>
          </cell>
          <cell r="H11">
            <v>0.02</v>
          </cell>
          <cell r="I11">
            <v>0.02</v>
          </cell>
          <cell r="J11">
            <v>0.02</v>
          </cell>
          <cell r="K11">
            <v>0.02</v>
          </cell>
          <cell r="L11">
            <v>0.02</v>
          </cell>
          <cell r="M11">
            <v>0.02</v>
          </cell>
          <cell r="N11">
            <v>0.02</v>
          </cell>
          <cell r="O11">
            <v>0.02</v>
          </cell>
          <cell r="P11">
            <v>0.02</v>
          </cell>
          <cell r="Q11">
            <v>0.02</v>
          </cell>
          <cell r="R11">
            <v>0.02</v>
          </cell>
          <cell r="S11">
            <v>0.02</v>
          </cell>
          <cell r="T11">
            <v>0.02</v>
          </cell>
          <cell r="U11">
            <v>0.02</v>
          </cell>
          <cell r="V11">
            <v>0.02</v>
          </cell>
        </row>
        <row r="12">
          <cell r="B12" t="str">
            <v>RFRR Deposit / Unit / Year</v>
          </cell>
          <cell r="C12">
            <v>330</v>
          </cell>
          <cell r="D12">
            <v>337</v>
          </cell>
          <cell r="E12">
            <v>343</v>
          </cell>
          <cell r="F12">
            <v>350</v>
          </cell>
          <cell r="G12">
            <v>357</v>
          </cell>
          <cell r="H12">
            <v>364</v>
          </cell>
          <cell r="I12">
            <v>372</v>
          </cell>
          <cell r="J12">
            <v>379</v>
          </cell>
          <cell r="K12">
            <v>387</v>
          </cell>
          <cell r="L12">
            <v>394</v>
          </cell>
          <cell r="M12">
            <v>402</v>
          </cell>
          <cell r="N12">
            <v>410</v>
          </cell>
          <cell r="O12">
            <v>419</v>
          </cell>
          <cell r="P12">
            <v>427</v>
          </cell>
          <cell r="Q12">
            <v>435</v>
          </cell>
          <cell r="R12">
            <v>444</v>
          </cell>
          <cell r="S12">
            <v>453</v>
          </cell>
          <cell r="T12">
            <v>462</v>
          </cell>
          <cell r="U12">
            <v>471</v>
          </cell>
          <cell r="V12">
            <v>481</v>
          </cell>
        </row>
        <row r="13">
          <cell r="B13" t="str">
            <v>Inflated Needs / Unit / Year</v>
          </cell>
          <cell r="C13">
            <v>0</v>
          </cell>
          <cell r="D13">
            <v>233</v>
          </cell>
          <cell r="E13">
            <v>1282</v>
          </cell>
          <cell r="F13">
            <v>814</v>
          </cell>
          <cell r="G13">
            <v>859</v>
          </cell>
          <cell r="H13">
            <v>814</v>
          </cell>
          <cell r="I13">
            <v>339</v>
          </cell>
          <cell r="J13">
            <v>737</v>
          </cell>
          <cell r="K13">
            <v>504</v>
          </cell>
          <cell r="L13">
            <v>504</v>
          </cell>
          <cell r="M13">
            <v>2228</v>
          </cell>
          <cell r="N13">
            <v>2145</v>
          </cell>
          <cell r="O13">
            <v>932</v>
          </cell>
          <cell r="P13">
            <v>1163</v>
          </cell>
          <cell r="Q13">
            <v>1967</v>
          </cell>
          <cell r="R13">
            <v>231</v>
          </cell>
          <cell r="S13">
            <v>0</v>
          </cell>
          <cell r="T13">
            <v>730</v>
          </cell>
          <cell r="U13">
            <v>614</v>
          </cell>
          <cell r="V13">
            <v>4941</v>
          </cell>
        </row>
      </sheetData>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F115"/>
  <sheetViews>
    <sheetView tabSelected="1" workbookViewId="0">
      <selection activeCell="B2" sqref="B2"/>
    </sheetView>
  </sheetViews>
  <sheetFormatPr defaultRowHeight="15" x14ac:dyDescent="0.25"/>
  <cols>
    <col min="1" max="1" width="5.28515625" customWidth="1"/>
    <col min="2" max="2" width="14.85546875" bestFit="1" customWidth="1"/>
    <col min="3" max="3" width="20.28515625" customWidth="1"/>
    <col min="4" max="4" width="95.140625" customWidth="1"/>
  </cols>
  <sheetData>
    <row r="1" spans="1:6" ht="15.75" thickBot="1" x14ac:dyDescent="0.3">
      <c r="A1" s="126"/>
      <c r="B1" s="126"/>
      <c r="C1" s="126"/>
      <c r="D1" s="126"/>
      <c r="E1" s="126"/>
      <c r="F1" s="126"/>
    </row>
    <row r="2" spans="1:6" ht="18.75" x14ac:dyDescent="0.3">
      <c r="A2" s="126"/>
      <c r="B2" s="374" t="s">
        <v>571</v>
      </c>
      <c r="C2" s="375"/>
      <c r="D2" s="1009"/>
      <c r="E2" s="221"/>
      <c r="F2" s="126"/>
    </row>
    <row r="3" spans="1:6" ht="18.75" x14ac:dyDescent="0.3">
      <c r="A3" s="126"/>
      <c r="B3" s="376" t="s">
        <v>0</v>
      </c>
      <c r="C3" s="181"/>
      <c r="D3" s="1010"/>
      <c r="E3" s="222"/>
      <c r="F3" s="126"/>
    </row>
    <row r="4" spans="1:6" ht="18.75" x14ac:dyDescent="0.3">
      <c r="A4" s="126"/>
      <c r="B4" s="1002" t="s">
        <v>566</v>
      </c>
      <c r="C4" s="181"/>
      <c r="D4" s="1"/>
      <c r="E4" s="222"/>
      <c r="F4" s="126"/>
    </row>
    <row r="5" spans="1:6" ht="18.75" x14ac:dyDescent="0.3">
      <c r="A5" s="126"/>
      <c r="B5" s="1002">
        <v>43076</v>
      </c>
      <c r="C5" s="1012" t="s">
        <v>1</v>
      </c>
      <c r="D5" s="1012"/>
      <c r="E5" s="222"/>
      <c r="F5" s="126"/>
    </row>
    <row r="6" spans="1:6" ht="14.25" customHeight="1" x14ac:dyDescent="0.3">
      <c r="A6" s="126"/>
      <c r="B6" s="376"/>
      <c r="C6" s="181"/>
      <c r="D6" s="1"/>
      <c r="E6" s="222"/>
      <c r="F6" s="126"/>
    </row>
    <row r="7" spans="1:6" ht="93.75" customHeight="1" x14ac:dyDescent="0.3">
      <c r="A7" s="126"/>
      <c r="B7" s="376"/>
      <c r="C7" s="1014" t="s">
        <v>559</v>
      </c>
      <c r="D7" s="1014"/>
      <c r="E7" s="222"/>
      <c r="F7" s="126"/>
    </row>
    <row r="8" spans="1:6" ht="59.25" customHeight="1" x14ac:dyDescent="0.3">
      <c r="A8" s="126"/>
      <c r="B8" s="376"/>
      <c r="C8" s="998" t="s">
        <v>553</v>
      </c>
      <c r="D8" s="999" t="s">
        <v>550</v>
      </c>
      <c r="E8" s="222"/>
      <c r="F8" s="126"/>
    </row>
    <row r="9" spans="1:6" ht="98.25" customHeight="1" x14ac:dyDescent="0.3">
      <c r="A9" s="126"/>
      <c r="B9" s="376"/>
      <c r="C9" s="998" t="s">
        <v>554</v>
      </c>
      <c r="D9" s="999" t="s">
        <v>560</v>
      </c>
      <c r="E9" s="222"/>
      <c r="F9" s="126"/>
    </row>
    <row r="10" spans="1:6" ht="202.5" customHeight="1" x14ac:dyDescent="0.3">
      <c r="A10" s="126"/>
      <c r="B10" s="376"/>
      <c r="C10" s="998" t="s">
        <v>555</v>
      </c>
      <c r="D10" s="999" t="s">
        <v>569</v>
      </c>
      <c r="E10" s="222"/>
      <c r="F10" s="126"/>
    </row>
    <row r="11" spans="1:6" ht="26.25" customHeight="1" x14ac:dyDescent="0.3">
      <c r="A11" s="126"/>
      <c r="B11" s="376"/>
      <c r="C11" s="997"/>
      <c r="D11" s="994"/>
      <c r="E11" s="222"/>
      <c r="F11" s="126"/>
    </row>
    <row r="12" spans="1:6" ht="33.75" customHeight="1" x14ac:dyDescent="0.3">
      <c r="A12" s="126"/>
      <c r="B12" s="376"/>
      <c r="C12" s="1011" t="s">
        <v>551</v>
      </c>
      <c r="D12" s="1011"/>
      <c r="E12" s="222"/>
      <c r="F12" s="126"/>
    </row>
    <row r="13" spans="1:6" ht="66" customHeight="1" x14ac:dyDescent="0.3">
      <c r="A13" s="126"/>
      <c r="B13" s="377"/>
      <c r="C13" s="469" t="s">
        <v>522</v>
      </c>
      <c r="D13" s="470" t="s">
        <v>532</v>
      </c>
      <c r="E13" s="222"/>
      <c r="F13" s="126"/>
    </row>
    <row r="14" spans="1:6" ht="57.75" customHeight="1" x14ac:dyDescent="0.3">
      <c r="A14" s="126"/>
      <c r="B14" s="377"/>
      <c r="C14" s="469" t="s">
        <v>521</v>
      </c>
      <c r="D14" s="470" t="s">
        <v>541</v>
      </c>
      <c r="E14" s="222"/>
      <c r="F14" s="126"/>
    </row>
    <row r="15" spans="1:6" ht="83.25" customHeight="1" x14ac:dyDescent="0.3">
      <c r="A15" s="126"/>
      <c r="B15" s="377"/>
      <c r="C15" s="469" t="s">
        <v>523</v>
      </c>
      <c r="D15" s="470" t="s">
        <v>538</v>
      </c>
      <c r="E15" s="222"/>
      <c r="F15" s="126"/>
    </row>
    <row r="16" spans="1:6" ht="75" x14ac:dyDescent="0.3">
      <c r="A16" s="126"/>
      <c r="B16" s="377"/>
      <c r="C16" s="469" t="s">
        <v>525</v>
      </c>
      <c r="D16" s="470" t="s">
        <v>524</v>
      </c>
      <c r="E16" s="222"/>
      <c r="F16" s="126"/>
    </row>
    <row r="17" spans="1:6" ht="71.25" customHeight="1" x14ac:dyDescent="0.3">
      <c r="A17" s="126"/>
      <c r="B17" s="377"/>
      <c r="C17" s="469" t="s">
        <v>526</v>
      </c>
      <c r="D17" s="470" t="s">
        <v>533</v>
      </c>
      <c r="E17" s="222"/>
      <c r="F17" s="126"/>
    </row>
    <row r="18" spans="1:6" ht="180" x14ac:dyDescent="0.3">
      <c r="A18" s="126"/>
      <c r="B18" s="377"/>
      <c r="C18" s="469" t="s">
        <v>527</v>
      </c>
      <c r="D18" s="470" t="s">
        <v>534</v>
      </c>
      <c r="E18" s="222"/>
      <c r="F18" s="126"/>
    </row>
    <row r="19" spans="1:6" ht="45" x14ac:dyDescent="0.3">
      <c r="A19" s="126"/>
      <c r="B19" s="377"/>
      <c r="C19" s="469" t="s">
        <v>563</v>
      </c>
      <c r="D19" s="470" t="s">
        <v>528</v>
      </c>
      <c r="E19" s="222"/>
      <c r="F19" s="126"/>
    </row>
    <row r="20" spans="1:6" ht="97.5" customHeight="1" x14ac:dyDescent="0.3">
      <c r="A20" s="126"/>
      <c r="B20" s="377"/>
      <c r="C20" s="469" t="s">
        <v>529</v>
      </c>
      <c r="D20" s="470" t="s">
        <v>531</v>
      </c>
      <c r="E20" s="222"/>
      <c r="F20" s="126"/>
    </row>
    <row r="21" spans="1:6" ht="45" x14ac:dyDescent="0.3">
      <c r="A21" s="126"/>
      <c r="B21" s="377"/>
      <c r="C21" s="469" t="s">
        <v>530</v>
      </c>
      <c r="D21" s="470" t="s">
        <v>542</v>
      </c>
      <c r="E21" s="222"/>
      <c r="F21" s="126"/>
    </row>
    <row r="22" spans="1:6" ht="75" x14ac:dyDescent="0.3">
      <c r="A22" s="126"/>
      <c r="B22" s="377"/>
      <c r="C22" s="469" t="s">
        <v>562</v>
      </c>
      <c r="D22" s="470" t="s">
        <v>561</v>
      </c>
      <c r="E22" s="222"/>
      <c r="F22" s="126"/>
    </row>
    <row r="23" spans="1:6" ht="20.25" customHeight="1" x14ac:dyDescent="0.3">
      <c r="A23" s="126"/>
      <c r="B23" s="377"/>
      <c r="C23" s="469"/>
      <c r="D23" s="470"/>
      <c r="E23" s="222"/>
      <c r="F23" s="126"/>
    </row>
    <row r="24" spans="1:6" ht="60" customHeight="1" x14ac:dyDescent="0.3">
      <c r="A24" s="126"/>
      <c r="B24" s="377"/>
      <c r="C24" s="469" t="s">
        <v>535</v>
      </c>
      <c r="D24" s="470" t="s">
        <v>543</v>
      </c>
      <c r="E24" s="222"/>
      <c r="F24" s="126"/>
    </row>
    <row r="25" spans="1:6" ht="18.75" x14ac:dyDescent="0.3">
      <c r="A25" s="126"/>
      <c r="B25" s="377"/>
      <c r="C25" s="469"/>
      <c r="D25" s="470"/>
      <c r="E25" s="222"/>
      <c r="F25" s="126"/>
    </row>
    <row r="26" spans="1:6" ht="12" customHeight="1" x14ac:dyDescent="0.25">
      <c r="A26" s="126"/>
      <c r="B26" s="223"/>
      <c r="C26" s="338"/>
      <c r="D26" s="339"/>
      <c r="E26" s="222"/>
      <c r="F26" s="126"/>
    </row>
    <row r="27" spans="1:6" ht="14.25" customHeight="1" x14ac:dyDescent="0.25">
      <c r="A27" s="126"/>
      <c r="B27" s="223"/>
      <c r="C27" s="1013"/>
      <c r="D27" s="1013"/>
      <c r="E27" s="222"/>
      <c r="F27" s="126"/>
    </row>
    <row r="28" spans="1:6" ht="68.25" customHeight="1" x14ac:dyDescent="0.25">
      <c r="A28" s="126"/>
      <c r="B28" s="223"/>
      <c r="C28" s="1008" t="s">
        <v>570</v>
      </c>
      <c r="D28" s="1008"/>
      <c r="E28" s="222"/>
      <c r="F28" s="126"/>
    </row>
    <row r="29" spans="1:6" ht="15.75" x14ac:dyDescent="0.25">
      <c r="A29" s="126"/>
      <c r="B29" s="223"/>
      <c r="C29" s="182"/>
      <c r="D29" s="183"/>
      <c r="E29" s="222"/>
      <c r="F29" s="126"/>
    </row>
    <row r="30" spans="1:6" ht="31.5" customHeight="1" x14ac:dyDescent="0.25">
      <c r="A30" s="126"/>
      <c r="B30" s="223"/>
      <c r="C30" s="1008" t="s">
        <v>552</v>
      </c>
      <c r="D30" s="1008"/>
      <c r="E30" s="222"/>
      <c r="F30" s="126"/>
    </row>
    <row r="31" spans="1:6" x14ac:dyDescent="0.25">
      <c r="A31" s="126"/>
      <c r="B31" s="223"/>
      <c r="C31" s="1"/>
      <c r="D31" s="183"/>
      <c r="E31" s="222"/>
      <c r="F31" s="126"/>
    </row>
    <row r="32" spans="1:6" ht="15.75" thickBot="1" x14ac:dyDescent="0.3">
      <c r="A32" s="126"/>
      <c r="B32" s="220"/>
      <c r="C32" s="224"/>
      <c r="D32" s="224"/>
      <c r="E32" s="378"/>
      <c r="F32" s="126"/>
    </row>
    <row r="33" spans="1:6" x14ac:dyDescent="0.25">
      <c r="A33" s="126"/>
      <c r="B33" s="126"/>
      <c r="C33" s="126"/>
      <c r="D33" s="126"/>
      <c r="E33" s="126"/>
      <c r="F33" s="126"/>
    </row>
    <row r="34" spans="1:6" x14ac:dyDescent="0.25">
      <c r="A34" s="1005"/>
      <c r="B34" s="1005"/>
      <c r="C34" s="1005"/>
      <c r="D34" s="1005"/>
      <c r="E34" s="1005"/>
      <c r="F34" s="1005"/>
    </row>
    <row r="35" spans="1:6" x14ac:dyDescent="0.25">
      <c r="A35" s="1007"/>
      <c r="B35" s="1007"/>
      <c r="C35" s="1007"/>
      <c r="D35" s="1007"/>
      <c r="E35" s="1007"/>
    </row>
    <row r="36" spans="1:6" x14ac:dyDescent="0.25">
      <c r="A36" s="1007"/>
      <c r="B36" s="1005"/>
      <c r="C36" s="1006"/>
      <c r="D36" s="1005"/>
      <c r="E36" s="1007"/>
    </row>
    <row r="37" spans="1:6" x14ac:dyDescent="0.25">
      <c r="A37" s="1007"/>
      <c r="B37" s="1005"/>
      <c r="C37" s="1006" t="s">
        <v>2</v>
      </c>
      <c r="D37" s="1005"/>
      <c r="E37" s="1007"/>
    </row>
    <row r="38" spans="1:6" x14ac:dyDescent="0.25">
      <c r="A38" s="1007"/>
      <c r="B38" s="1005"/>
      <c r="C38" s="1005" t="s">
        <v>3</v>
      </c>
      <c r="D38" s="1005"/>
      <c r="E38" s="1007"/>
    </row>
    <row r="39" spans="1:6" x14ac:dyDescent="0.25">
      <c r="A39" s="1007"/>
      <c r="B39" s="1005"/>
      <c r="C39" s="1006" t="s">
        <v>4</v>
      </c>
      <c r="D39" s="1005"/>
      <c r="E39" s="1007"/>
    </row>
    <row r="40" spans="1:6" x14ac:dyDescent="0.25">
      <c r="A40" s="1007"/>
      <c r="B40" s="1005"/>
      <c r="C40" s="1005"/>
      <c r="D40" s="1005"/>
      <c r="E40" s="1007"/>
    </row>
    <row r="41" spans="1:6" x14ac:dyDescent="0.25">
      <c r="A41" s="1007"/>
      <c r="B41" s="1005"/>
      <c r="C41" s="1005"/>
      <c r="D41" s="1005"/>
      <c r="E41" s="1007"/>
    </row>
    <row r="42" spans="1:6" x14ac:dyDescent="0.25">
      <c r="A42" s="1007"/>
      <c r="B42" s="1005"/>
      <c r="C42" s="1005"/>
      <c r="D42" s="1005"/>
      <c r="E42" s="1007"/>
    </row>
    <row r="43" spans="1:6" x14ac:dyDescent="0.25">
      <c r="A43" s="1007"/>
      <c r="B43" s="1005"/>
      <c r="C43" s="1005"/>
      <c r="D43" s="1005"/>
      <c r="E43" s="1007"/>
    </row>
    <row r="44" spans="1:6" x14ac:dyDescent="0.25">
      <c r="A44" s="1007"/>
      <c r="B44" s="1005"/>
      <c r="C44" s="1005"/>
      <c r="D44" s="1005"/>
      <c r="E44" s="1007"/>
    </row>
    <row r="45" spans="1:6" x14ac:dyDescent="0.25">
      <c r="A45" s="1007"/>
      <c r="B45" s="1005"/>
      <c r="C45" s="1005"/>
      <c r="D45" s="1005"/>
      <c r="E45" s="1007"/>
    </row>
    <row r="46" spans="1:6" x14ac:dyDescent="0.25">
      <c r="A46" s="1007"/>
      <c r="B46" s="1005"/>
      <c r="C46" s="1005"/>
      <c r="D46" s="1005"/>
      <c r="E46" s="1007"/>
    </row>
    <row r="47" spans="1:6" x14ac:dyDescent="0.25">
      <c r="A47" s="1007"/>
      <c r="B47" s="1005"/>
      <c r="C47" s="1005"/>
      <c r="D47" s="1005"/>
      <c r="E47" s="1007"/>
    </row>
    <row r="48" spans="1:6" x14ac:dyDescent="0.25">
      <c r="A48" s="1007"/>
      <c r="B48" s="1005"/>
      <c r="C48" s="1005"/>
      <c r="D48" s="1005"/>
      <c r="E48" s="1007"/>
    </row>
    <row r="49" spans="1:5" x14ac:dyDescent="0.25">
      <c r="A49" s="1007"/>
      <c r="B49" s="1005"/>
      <c r="C49" s="1005"/>
      <c r="D49" s="1005"/>
      <c r="E49" s="1007"/>
    </row>
    <row r="50" spans="1:5" x14ac:dyDescent="0.25">
      <c r="A50" s="1007"/>
      <c r="B50" s="1005"/>
      <c r="C50" s="1005"/>
      <c r="D50" s="1005"/>
      <c r="E50" s="1007"/>
    </row>
    <row r="51" spans="1:5" x14ac:dyDescent="0.25">
      <c r="A51" s="1007"/>
      <c r="B51" s="1005"/>
      <c r="C51" s="1005"/>
      <c r="D51" s="1005"/>
      <c r="E51" s="1007"/>
    </row>
    <row r="52" spans="1:5" x14ac:dyDescent="0.25">
      <c r="A52" s="1007"/>
      <c r="B52" s="1005"/>
      <c r="C52" s="1005"/>
      <c r="D52" s="1005"/>
      <c r="E52" s="1007"/>
    </row>
    <row r="53" spans="1:5" x14ac:dyDescent="0.25">
      <c r="A53" s="1007"/>
      <c r="B53" s="1005"/>
      <c r="C53" s="1005"/>
      <c r="D53" s="1005"/>
      <c r="E53" s="1007"/>
    </row>
    <row r="54" spans="1:5" x14ac:dyDescent="0.25">
      <c r="A54" s="1007"/>
      <c r="B54" s="1005"/>
      <c r="C54" s="1005"/>
      <c r="D54" s="1005"/>
      <c r="E54" s="1007"/>
    </row>
    <row r="55" spans="1:5" x14ac:dyDescent="0.25">
      <c r="A55" s="1007"/>
      <c r="B55" s="1005"/>
      <c r="C55" s="1005"/>
      <c r="D55" s="1005"/>
      <c r="E55" s="1007"/>
    </row>
    <row r="56" spans="1:5" x14ac:dyDescent="0.25">
      <c r="A56" s="1007"/>
      <c r="B56" s="1005"/>
      <c r="C56" s="1005"/>
      <c r="D56" s="1005"/>
      <c r="E56" s="1007"/>
    </row>
    <row r="57" spans="1:5" x14ac:dyDescent="0.25">
      <c r="A57" s="1007"/>
      <c r="B57" s="1005"/>
      <c r="C57" s="1005"/>
      <c r="D57" s="1005"/>
      <c r="E57" s="1007"/>
    </row>
    <row r="58" spans="1:5" x14ac:dyDescent="0.25">
      <c r="A58" s="1007"/>
      <c r="B58" s="1005"/>
      <c r="C58" s="1005"/>
      <c r="D58" s="1005"/>
      <c r="E58" s="1007"/>
    </row>
    <row r="59" spans="1:5" x14ac:dyDescent="0.25">
      <c r="A59" s="1007"/>
      <c r="B59" s="1005"/>
      <c r="C59" s="1005"/>
      <c r="D59" s="1005"/>
      <c r="E59" s="1007"/>
    </row>
    <row r="60" spans="1:5" x14ac:dyDescent="0.25">
      <c r="A60" s="1007"/>
      <c r="B60" s="1005"/>
      <c r="C60" s="1005"/>
      <c r="D60" s="1005"/>
      <c r="E60" s="1007"/>
    </row>
    <row r="61" spans="1:5" x14ac:dyDescent="0.25">
      <c r="A61" s="1007"/>
      <c r="B61" s="1005"/>
      <c r="C61" s="1005"/>
      <c r="D61" s="1005"/>
      <c r="E61" s="1007"/>
    </row>
    <row r="62" spans="1:5" x14ac:dyDescent="0.25">
      <c r="A62" s="1007"/>
      <c r="B62" s="1005"/>
      <c r="C62" s="1005"/>
      <c r="D62" s="1005"/>
      <c r="E62" s="1007"/>
    </row>
    <row r="63" spans="1:5" x14ac:dyDescent="0.25">
      <c r="A63" s="1007"/>
      <c r="B63" s="1005"/>
      <c r="C63" s="1005"/>
      <c r="D63" s="1005"/>
      <c r="E63" s="1007"/>
    </row>
    <row r="64" spans="1:5" x14ac:dyDescent="0.25">
      <c r="A64" s="1007"/>
      <c r="B64" s="1005"/>
      <c r="C64" s="1005"/>
      <c r="D64" s="1005"/>
      <c r="E64" s="1007"/>
    </row>
    <row r="65" spans="1:5" x14ac:dyDescent="0.25">
      <c r="A65" s="1007"/>
      <c r="B65" s="1005"/>
      <c r="C65" s="1005"/>
      <c r="D65" s="1005"/>
      <c r="E65" s="1007"/>
    </row>
    <row r="66" spans="1:5" x14ac:dyDescent="0.25">
      <c r="A66" s="1007"/>
      <c r="B66" s="1005"/>
      <c r="C66" s="1005"/>
      <c r="D66" s="1005"/>
      <c r="E66" s="1007"/>
    </row>
    <row r="67" spans="1:5" x14ac:dyDescent="0.25">
      <c r="A67" s="1007"/>
      <c r="B67" s="1005"/>
      <c r="C67" s="1005"/>
      <c r="D67" s="1005"/>
      <c r="E67" s="1007"/>
    </row>
    <row r="68" spans="1:5" x14ac:dyDescent="0.25">
      <c r="A68" s="1007"/>
      <c r="B68" s="1005"/>
      <c r="C68" s="1005"/>
      <c r="D68" s="1005"/>
      <c r="E68" s="1007"/>
    </row>
    <row r="69" spans="1:5" x14ac:dyDescent="0.25">
      <c r="A69" s="1007"/>
      <c r="B69" s="1005"/>
      <c r="C69" s="1005"/>
      <c r="D69" s="1005"/>
      <c r="E69" s="1007"/>
    </row>
    <row r="70" spans="1:5" x14ac:dyDescent="0.25">
      <c r="A70" s="1007"/>
      <c r="B70" s="1005"/>
      <c r="C70" s="1005"/>
      <c r="D70" s="1005"/>
      <c r="E70" s="1007"/>
    </row>
    <row r="71" spans="1:5" x14ac:dyDescent="0.25">
      <c r="A71" s="1007"/>
      <c r="B71" s="1005"/>
      <c r="C71" s="1005"/>
      <c r="D71" s="1005"/>
      <c r="E71" s="1007"/>
    </row>
    <row r="72" spans="1:5" x14ac:dyDescent="0.25">
      <c r="A72" s="1007"/>
      <c r="B72" s="1005"/>
      <c r="C72" s="1005"/>
      <c r="D72" s="1005"/>
      <c r="E72" s="1007"/>
    </row>
    <row r="73" spans="1:5" x14ac:dyDescent="0.25">
      <c r="A73" s="1007"/>
      <c r="B73" s="1005"/>
      <c r="C73" s="1005"/>
      <c r="D73" s="1005"/>
      <c r="E73" s="1007"/>
    </row>
    <row r="74" spans="1:5" x14ac:dyDescent="0.25">
      <c r="A74" s="1007"/>
      <c r="B74" s="1005"/>
      <c r="C74" s="1005"/>
      <c r="D74" s="1005"/>
      <c r="E74" s="1007"/>
    </row>
    <row r="75" spans="1:5" x14ac:dyDescent="0.25">
      <c r="A75" s="1007"/>
      <c r="B75" s="1005"/>
      <c r="C75" s="1005"/>
      <c r="D75" s="1005"/>
      <c r="E75" s="1007"/>
    </row>
    <row r="76" spans="1:5" x14ac:dyDescent="0.25">
      <c r="A76" s="1007"/>
      <c r="B76" s="1005"/>
      <c r="C76" s="1005"/>
      <c r="D76" s="1005"/>
      <c r="E76" s="1007"/>
    </row>
    <row r="77" spans="1:5" x14ac:dyDescent="0.25">
      <c r="A77" s="1007"/>
      <c r="B77" s="1005"/>
      <c r="C77" s="1005"/>
      <c r="D77" s="1005"/>
      <c r="E77" s="1007"/>
    </row>
    <row r="78" spans="1:5" x14ac:dyDescent="0.25">
      <c r="A78" s="1007"/>
      <c r="B78" s="1005"/>
      <c r="C78" s="1005"/>
      <c r="D78" s="1005"/>
      <c r="E78" s="1007"/>
    </row>
    <row r="79" spans="1:5" x14ac:dyDescent="0.25">
      <c r="A79" s="1007"/>
      <c r="B79" s="1005"/>
      <c r="C79" s="1005"/>
      <c r="D79" s="1005"/>
      <c r="E79" s="1007"/>
    </row>
    <row r="80" spans="1:5" x14ac:dyDescent="0.25">
      <c r="A80" s="1007"/>
      <c r="B80" s="1005"/>
      <c r="C80" s="1005"/>
      <c r="D80" s="1005"/>
      <c r="E80" s="1007"/>
    </row>
    <row r="81" spans="1:5" x14ac:dyDescent="0.25">
      <c r="A81" s="1007"/>
      <c r="B81" s="1005"/>
      <c r="C81" s="1005"/>
      <c r="D81" s="1005"/>
      <c r="E81" s="1007"/>
    </row>
    <row r="82" spans="1:5" x14ac:dyDescent="0.25">
      <c r="A82" s="1007"/>
      <c r="B82" s="1005"/>
      <c r="C82" s="1005"/>
      <c r="D82" s="1005"/>
      <c r="E82" s="1007"/>
    </row>
    <row r="83" spans="1:5" x14ac:dyDescent="0.25">
      <c r="A83" s="1007"/>
      <c r="B83" s="1005"/>
      <c r="C83" s="1005"/>
      <c r="D83" s="1005"/>
      <c r="E83" s="1007"/>
    </row>
    <row r="84" spans="1:5" x14ac:dyDescent="0.25">
      <c r="A84" s="1007"/>
      <c r="B84" s="1005"/>
      <c r="C84" s="1005"/>
      <c r="D84" s="1005"/>
      <c r="E84" s="1007"/>
    </row>
    <row r="85" spans="1:5" x14ac:dyDescent="0.25">
      <c r="A85" s="1007"/>
      <c r="B85" s="1005"/>
      <c r="C85" s="1005"/>
      <c r="D85" s="1005"/>
      <c r="E85" s="1007"/>
    </row>
    <row r="86" spans="1:5" x14ac:dyDescent="0.25">
      <c r="A86" s="1007"/>
      <c r="B86" s="1005"/>
      <c r="C86" s="1005"/>
      <c r="D86" s="1005"/>
      <c r="E86" s="1007"/>
    </row>
    <row r="87" spans="1:5" x14ac:dyDescent="0.25">
      <c r="A87" s="1007"/>
      <c r="B87" s="1005"/>
      <c r="C87" s="1005"/>
      <c r="D87" s="1005"/>
      <c r="E87" s="1007"/>
    </row>
    <row r="88" spans="1:5" x14ac:dyDescent="0.25">
      <c r="A88" s="1007"/>
      <c r="B88" s="1005"/>
      <c r="C88" s="1005"/>
      <c r="D88" s="1005"/>
      <c r="E88" s="1007"/>
    </row>
    <row r="89" spans="1:5" x14ac:dyDescent="0.25">
      <c r="A89" s="1007"/>
      <c r="B89" s="1005"/>
      <c r="C89" s="1005"/>
      <c r="D89" s="1005"/>
      <c r="E89" s="1007"/>
    </row>
    <row r="90" spans="1:5" x14ac:dyDescent="0.25">
      <c r="A90" s="1007"/>
      <c r="B90" s="1005"/>
      <c r="C90" s="1005"/>
      <c r="D90" s="1005"/>
      <c r="E90" s="1007"/>
    </row>
    <row r="91" spans="1:5" x14ac:dyDescent="0.25">
      <c r="A91" s="1007"/>
      <c r="B91" s="1005"/>
      <c r="C91" s="1005"/>
      <c r="D91" s="1005"/>
      <c r="E91" s="1007"/>
    </row>
    <row r="92" spans="1:5" x14ac:dyDescent="0.25">
      <c r="A92" s="1007"/>
      <c r="B92" s="1005"/>
      <c r="C92" s="1005"/>
      <c r="D92" s="1005"/>
      <c r="E92" s="1007"/>
    </row>
    <row r="93" spans="1:5" x14ac:dyDescent="0.25">
      <c r="A93" s="1007"/>
      <c r="B93" s="1005"/>
      <c r="C93" s="1005"/>
      <c r="D93" s="1005"/>
      <c r="E93" s="1007"/>
    </row>
    <row r="94" spans="1:5" x14ac:dyDescent="0.25">
      <c r="A94" s="1007"/>
      <c r="B94" s="1005"/>
      <c r="C94" s="1005"/>
      <c r="D94" s="1005"/>
      <c r="E94" s="1007"/>
    </row>
    <row r="95" spans="1:5" x14ac:dyDescent="0.25">
      <c r="A95" s="1007"/>
      <c r="B95" s="1005"/>
      <c r="C95" s="1005"/>
      <c r="D95" s="1005"/>
      <c r="E95" s="1007"/>
    </row>
    <row r="96" spans="1:5" x14ac:dyDescent="0.25">
      <c r="A96" s="1007"/>
      <c r="B96" s="1005"/>
      <c r="C96" s="1005"/>
      <c r="D96" s="1005"/>
      <c r="E96" s="1007"/>
    </row>
    <row r="97" spans="1:5" x14ac:dyDescent="0.25">
      <c r="A97" s="1007"/>
      <c r="B97" s="1005"/>
      <c r="C97" s="1005"/>
      <c r="D97" s="1005"/>
      <c r="E97" s="1007"/>
    </row>
    <row r="98" spans="1:5" x14ac:dyDescent="0.25">
      <c r="A98" s="1007"/>
      <c r="B98" s="1005"/>
      <c r="C98" s="1005"/>
      <c r="D98" s="1005"/>
      <c r="E98" s="1007"/>
    </row>
    <row r="99" spans="1:5" x14ac:dyDescent="0.25">
      <c r="A99" s="1007"/>
      <c r="B99" s="1005"/>
      <c r="C99" s="1005"/>
      <c r="D99" s="1005"/>
      <c r="E99" s="1007"/>
    </row>
    <row r="100" spans="1:5" x14ac:dyDescent="0.25">
      <c r="A100" s="1007"/>
      <c r="B100" s="1005"/>
      <c r="C100" s="1005"/>
      <c r="D100" s="1005"/>
      <c r="E100" s="1007"/>
    </row>
    <row r="101" spans="1:5" x14ac:dyDescent="0.25">
      <c r="A101" s="1007"/>
      <c r="B101" s="1005"/>
      <c r="C101" s="1005"/>
      <c r="D101" s="1005"/>
      <c r="E101" s="1007"/>
    </row>
    <row r="102" spans="1:5" x14ac:dyDescent="0.25">
      <c r="A102" s="1007"/>
      <c r="B102" s="1005"/>
      <c r="C102" s="1005"/>
      <c r="D102" s="1005"/>
      <c r="E102" s="1007"/>
    </row>
    <row r="103" spans="1:5" x14ac:dyDescent="0.25">
      <c r="A103" s="1007"/>
      <c r="B103" s="1005"/>
      <c r="C103" s="1005"/>
      <c r="D103" s="1005"/>
      <c r="E103" s="1007"/>
    </row>
    <row r="104" spans="1:5" x14ac:dyDescent="0.25">
      <c r="A104" s="1007"/>
      <c r="B104" s="1005"/>
      <c r="C104" s="1005"/>
      <c r="D104" s="1005"/>
      <c r="E104" s="1007"/>
    </row>
    <row r="105" spans="1:5" x14ac:dyDescent="0.25">
      <c r="A105" s="1007"/>
      <c r="B105" s="1005"/>
      <c r="C105" s="1005"/>
      <c r="D105" s="1005"/>
      <c r="E105" s="1007"/>
    </row>
    <row r="106" spans="1:5" x14ac:dyDescent="0.25">
      <c r="A106" s="1007"/>
      <c r="B106" s="1005"/>
      <c r="C106" s="1005"/>
      <c r="D106" s="1005"/>
      <c r="E106" s="1007"/>
    </row>
    <row r="107" spans="1:5" x14ac:dyDescent="0.25">
      <c r="A107" s="1007"/>
      <c r="B107" s="1005"/>
      <c r="C107" s="1005"/>
      <c r="D107" s="1005"/>
      <c r="E107" s="1007"/>
    </row>
    <row r="108" spans="1:5" x14ac:dyDescent="0.25">
      <c r="A108" s="1007"/>
      <c r="B108" s="1005"/>
      <c r="C108" s="1005"/>
      <c r="D108" s="1005"/>
      <c r="E108" s="1007"/>
    </row>
    <row r="109" spans="1:5" x14ac:dyDescent="0.25">
      <c r="A109" s="1007"/>
      <c r="B109" s="1005"/>
      <c r="C109" s="1005"/>
      <c r="D109" s="1005"/>
      <c r="E109" s="1007"/>
    </row>
    <row r="110" spans="1:5" x14ac:dyDescent="0.25">
      <c r="A110" s="1007"/>
      <c r="B110" s="1005"/>
      <c r="C110" s="1005"/>
      <c r="D110" s="1005"/>
      <c r="E110" s="1007"/>
    </row>
    <row r="111" spans="1:5" x14ac:dyDescent="0.25">
      <c r="A111" s="1007"/>
      <c r="B111" s="1005"/>
      <c r="C111" s="1005"/>
      <c r="D111" s="1005"/>
      <c r="E111" s="1007"/>
    </row>
    <row r="112" spans="1:5" x14ac:dyDescent="0.25">
      <c r="A112" s="1007"/>
      <c r="B112" s="1005"/>
      <c r="C112" s="1005"/>
      <c r="D112" s="1005"/>
      <c r="E112" s="1007"/>
    </row>
    <row r="113" spans="1:5" x14ac:dyDescent="0.25">
      <c r="A113" s="1007"/>
      <c r="E113" s="1007"/>
    </row>
    <row r="114" spans="1:5" x14ac:dyDescent="0.25">
      <c r="A114" s="1007"/>
      <c r="B114" s="1007"/>
      <c r="C114" s="1007"/>
      <c r="D114" s="1007"/>
      <c r="E114" s="1007"/>
    </row>
    <row r="115" spans="1:5" x14ac:dyDescent="0.25">
      <c r="A115" s="1007"/>
      <c r="B115" s="1007"/>
      <c r="C115" s="1007"/>
      <c r="D115" s="1007"/>
      <c r="E115" s="1007"/>
    </row>
  </sheetData>
  <mergeCells count="7">
    <mergeCell ref="C30:D30"/>
    <mergeCell ref="D2:D3"/>
    <mergeCell ref="C12:D12"/>
    <mergeCell ref="C5:D5"/>
    <mergeCell ref="C27:D27"/>
    <mergeCell ref="C28:D28"/>
    <mergeCell ref="C7:D7"/>
  </mergeCells>
  <printOptions horizontalCentered="1"/>
  <pageMargins left="0.7" right="0.7" top="0.75" bottom="0.75" header="0.3" footer="0.3"/>
  <pageSetup scale="62" orientation="portrait" r:id="rId1"/>
  <headerFooter>
    <oddHeader>&amp;F</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9597C-6DB4-42E5-AA86-300EC1901C80}">
  <dimension ref="A1:K36"/>
  <sheetViews>
    <sheetView workbookViewId="0">
      <selection activeCell="E20" sqref="E20"/>
    </sheetView>
  </sheetViews>
  <sheetFormatPr defaultRowHeight="15" x14ac:dyDescent="0.25"/>
  <cols>
    <col min="2" max="3" width="19.140625" style="266" customWidth="1"/>
    <col min="4" max="4" width="20.42578125" style="266" customWidth="1"/>
    <col min="5" max="5" width="20" style="266" customWidth="1"/>
    <col min="6" max="6" width="19.140625" style="266" customWidth="1"/>
    <col min="7" max="7" width="18.28515625" style="266" customWidth="1"/>
    <col min="8" max="8" width="19.140625" style="266" customWidth="1"/>
    <col min="9" max="9" width="3.5703125" style="266" customWidth="1"/>
    <col min="10" max="10" width="11.42578125" style="266" customWidth="1"/>
    <col min="11" max="11" width="5.28515625" style="266" customWidth="1"/>
  </cols>
  <sheetData>
    <row r="1" spans="1:11" ht="18.75" x14ac:dyDescent="0.3">
      <c r="A1" s="364"/>
      <c r="B1" s="447"/>
      <c r="C1" s="1000" t="s">
        <v>565</v>
      </c>
      <c r="D1" s="1000"/>
      <c r="E1" s="202"/>
      <c r="F1" s="202"/>
      <c r="G1" s="202"/>
      <c r="H1" s="202"/>
      <c r="I1" s="202"/>
      <c r="J1" s="202"/>
      <c r="K1" s="203"/>
    </row>
    <row r="2" spans="1:11" ht="18.75" x14ac:dyDescent="0.3">
      <c r="A2" s="205"/>
      <c r="B2" s="448" t="s">
        <v>488</v>
      </c>
      <c r="C2" s="210"/>
      <c r="D2" s="210"/>
      <c r="E2" s="210"/>
      <c r="F2" s="210"/>
      <c r="G2" s="210"/>
      <c r="H2" s="210"/>
      <c r="I2" s="210"/>
      <c r="J2" s="210"/>
      <c r="K2" s="204"/>
    </row>
    <row r="3" spans="1:11" ht="18.75" x14ac:dyDescent="0.3">
      <c r="A3" s="205"/>
      <c r="B3" s="448" t="s">
        <v>489</v>
      </c>
      <c r="C3" s="210"/>
      <c r="D3" s="210"/>
      <c r="E3" s="210"/>
      <c r="F3" s="210"/>
      <c r="G3" s="210"/>
      <c r="H3" s="210"/>
      <c r="I3" s="210"/>
      <c r="J3" s="210"/>
      <c r="K3" s="204"/>
    </row>
    <row r="4" spans="1:11" x14ac:dyDescent="0.25">
      <c r="A4" s="205"/>
      <c r="B4" s="210"/>
      <c r="C4" s="210"/>
      <c r="D4" s="210"/>
      <c r="E4" s="210"/>
      <c r="F4" s="210"/>
      <c r="G4" s="210"/>
      <c r="H4" s="210"/>
      <c r="I4" s="210"/>
      <c r="J4" s="210"/>
      <c r="K4" s="204"/>
    </row>
    <row r="5" spans="1:11" ht="30" x14ac:dyDescent="0.25">
      <c r="A5" s="205"/>
      <c r="B5" s="210"/>
      <c r="C5" s="210"/>
      <c r="D5" s="438" t="s">
        <v>490</v>
      </c>
      <c r="E5" s="438" t="s">
        <v>491</v>
      </c>
      <c r="F5" s="438" t="s">
        <v>492</v>
      </c>
      <c r="G5" s="438" t="s">
        <v>493</v>
      </c>
      <c r="H5" s="438" t="s">
        <v>494</v>
      </c>
      <c r="I5" s="438"/>
      <c r="J5" s="438"/>
      <c r="K5" s="204"/>
    </row>
    <row r="6" spans="1:11" x14ac:dyDescent="0.25">
      <c r="A6" s="205"/>
      <c r="B6" s="210"/>
      <c r="C6" s="329" t="s">
        <v>495</v>
      </c>
      <c r="D6" s="261">
        <f>+'eTool Data Engine'!C21</f>
        <v>19800</v>
      </c>
      <c r="E6" s="261">
        <f>+SUM('eTool Data'!F6:O6)/10</f>
        <v>21680.5</v>
      </c>
      <c r="F6" s="261">
        <f>+'eTool Data'!P6</f>
        <v>24136</v>
      </c>
      <c r="G6" s="261">
        <f>+SUM('eTool Data'!P6:Y6)/+COUNTIF('eTool Data'!P6:Y6,"&gt;0")</f>
        <v>26428.3</v>
      </c>
      <c r="H6" s="261">
        <f ca="1">+OFFSET('eTool Data'!E6,0,COUNTIF('eTool Data'!F6:Y6,"&gt;0"))</f>
        <v>28845</v>
      </c>
      <c r="I6" s="261"/>
      <c r="J6" s="261"/>
      <c r="K6" s="204"/>
    </row>
    <row r="7" spans="1:11" x14ac:dyDescent="0.25">
      <c r="A7" s="205"/>
      <c r="B7" s="210"/>
      <c r="C7" s="329" t="s">
        <v>496</v>
      </c>
      <c r="D7" s="261">
        <f>+'eTool Data Engine'!C22</f>
        <v>330</v>
      </c>
      <c r="E7" s="261">
        <f>+E6/'eTool Data Engine'!$C$23</f>
        <v>361.34166666666664</v>
      </c>
      <c r="F7" s="261">
        <f>+F6/'eTool Data Engine'!$C$23</f>
        <v>402.26666666666665</v>
      </c>
      <c r="G7" s="261">
        <f>+G6/'eTool Data Engine'!$C$23</f>
        <v>440.47166666666664</v>
      </c>
      <c r="H7" s="261">
        <f ca="1">+H6/'eTool Data Engine'!$C$23</f>
        <v>480.75</v>
      </c>
      <c r="I7" s="261"/>
      <c r="J7" s="261"/>
      <c r="K7" s="204"/>
    </row>
    <row r="8" spans="1:11" x14ac:dyDescent="0.25">
      <c r="A8" s="205"/>
      <c r="B8" s="210"/>
      <c r="C8" s="210" t="s">
        <v>497</v>
      </c>
      <c r="D8" s="210"/>
      <c r="E8" s="439">
        <f>+E7/$D$7</f>
        <v>1.0949747474747473</v>
      </c>
      <c r="F8" s="439">
        <f>+F7/$D$7</f>
        <v>1.2189898989898988</v>
      </c>
      <c r="G8" s="439">
        <f>+G7/$D$7</f>
        <v>1.3347626262626262</v>
      </c>
      <c r="H8" s="439">
        <f ca="1">+H7/$D$7</f>
        <v>1.4568181818181818</v>
      </c>
      <c r="I8" s="439"/>
      <c r="J8" s="439"/>
      <c r="K8" s="204"/>
    </row>
    <row r="9" spans="1:11" ht="9.75" customHeight="1" x14ac:dyDescent="0.25">
      <c r="A9" s="205"/>
      <c r="B9" s="210"/>
      <c r="C9" s="329"/>
      <c r="D9" s="210"/>
      <c r="E9" s="261"/>
      <c r="F9" s="261"/>
      <c r="G9" s="261"/>
      <c r="H9" s="210"/>
      <c r="I9" s="210"/>
      <c r="J9" s="210"/>
      <c r="K9" s="204"/>
    </row>
    <row r="10" spans="1:11" ht="9" customHeight="1" thickBot="1" x14ac:dyDescent="0.3">
      <c r="A10" s="205"/>
      <c r="B10" s="210"/>
      <c r="C10" s="210"/>
      <c r="D10" s="210"/>
      <c r="E10" s="210"/>
      <c r="F10" s="210"/>
      <c r="G10" s="210"/>
      <c r="H10" s="210"/>
      <c r="I10" s="210"/>
      <c r="J10" s="210"/>
      <c r="K10" s="204"/>
    </row>
    <row r="11" spans="1:11" ht="15.75" thickBot="1" x14ac:dyDescent="0.3">
      <c r="A11" s="205"/>
      <c r="B11" s="210"/>
      <c r="C11" s="210"/>
      <c r="D11" s="364"/>
      <c r="E11" s="445" t="s">
        <v>498</v>
      </c>
      <c r="F11" s="450">
        <f>+D7</f>
        <v>330</v>
      </c>
      <c r="G11" s="210"/>
      <c r="H11" s="210"/>
      <c r="I11" s="210"/>
      <c r="J11" s="210"/>
      <c r="K11" s="204"/>
    </row>
    <row r="12" spans="1:11" ht="15.75" thickBot="1" x14ac:dyDescent="0.3">
      <c r="A12" s="205"/>
      <c r="B12" s="210"/>
      <c r="C12" s="210"/>
      <c r="D12" s="205"/>
      <c r="E12" s="444" t="s">
        <v>499</v>
      </c>
      <c r="F12" s="943">
        <v>0</v>
      </c>
      <c r="G12" s="210"/>
      <c r="H12" s="210"/>
      <c r="I12" s="210"/>
      <c r="J12" s="210"/>
      <c r="K12" s="204"/>
    </row>
    <row r="13" spans="1:11" ht="15.75" thickBot="1" x14ac:dyDescent="0.3">
      <c r="A13" s="205"/>
      <c r="B13" s="210"/>
      <c r="C13" s="210"/>
      <c r="D13" s="206"/>
      <c r="E13" s="446" t="s">
        <v>500</v>
      </c>
      <c r="F13" s="451">
        <f>+F11+F12</f>
        <v>330</v>
      </c>
      <c r="G13" s="210"/>
      <c r="H13" s="210"/>
      <c r="I13" s="210"/>
      <c r="J13" s="210"/>
      <c r="K13" s="204"/>
    </row>
    <row r="14" spans="1:11" ht="45" x14ac:dyDescent="0.25">
      <c r="A14" s="205"/>
      <c r="B14" s="210"/>
      <c r="C14" s="440" t="s">
        <v>501</v>
      </c>
      <c r="D14" s="441" t="s">
        <v>502</v>
      </c>
      <c r="E14" s="441" t="s">
        <v>503</v>
      </c>
      <c r="F14" s="441" t="s">
        <v>504</v>
      </c>
      <c r="G14" s="441" t="s">
        <v>505</v>
      </c>
      <c r="H14" s="441" t="s">
        <v>506</v>
      </c>
      <c r="I14" s="441"/>
      <c r="J14" s="441" t="s">
        <v>536</v>
      </c>
      <c r="K14" s="204"/>
    </row>
    <row r="15" spans="1:11" x14ac:dyDescent="0.25">
      <c r="A15" s="205"/>
      <c r="B15" s="210"/>
      <c r="C15" s="473">
        <v>1.1000000000000001</v>
      </c>
      <c r="D15" s="442">
        <f t="shared" ref="D15:D20" si="0">+$D$36</f>
        <v>10280.423658551726</v>
      </c>
      <c r="E15" s="442">
        <f t="shared" ref="E15:E20" si="1">+C15*D15</f>
        <v>11308.4660244069</v>
      </c>
      <c r="F15" s="449">
        <f>+F12</f>
        <v>0</v>
      </c>
      <c r="G15" s="442">
        <f t="shared" ref="G15:G20" si="2">+E15-F15</f>
        <v>11308.4660244069</v>
      </c>
      <c r="H15" s="474">
        <f t="shared" ref="H15:H20" si="3">+G15/D15</f>
        <v>1.1000000000000001</v>
      </c>
      <c r="I15" s="441"/>
      <c r="J15" s="474">
        <f>+C15-H15</f>
        <v>0</v>
      </c>
      <c r="K15" s="204"/>
    </row>
    <row r="16" spans="1:11" x14ac:dyDescent="0.25">
      <c r="A16" s="205"/>
      <c r="B16" s="210"/>
      <c r="C16" s="473">
        <v>1.1499999999999999</v>
      </c>
      <c r="D16" s="442">
        <f t="shared" si="0"/>
        <v>10280.423658551726</v>
      </c>
      <c r="E16" s="442">
        <f t="shared" si="1"/>
        <v>11822.487207334485</v>
      </c>
      <c r="F16" s="449">
        <f>+F12</f>
        <v>0</v>
      </c>
      <c r="G16" s="442">
        <f t="shared" si="2"/>
        <v>11822.487207334485</v>
      </c>
      <c r="H16" s="474">
        <f t="shared" si="3"/>
        <v>1.1499999999999999</v>
      </c>
      <c r="I16" s="441"/>
      <c r="J16" s="474">
        <f t="shared" ref="J16:J20" si="4">+C16-H16</f>
        <v>0</v>
      </c>
      <c r="K16" s="204"/>
    </row>
    <row r="17" spans="1:11" x14ac:dyDescent="0.25">
      <c r="A17" s="205"/>
      <c r="B17" s="210"/>
      <c r="C17" s="473">
        <v>1.2</v>
      </c>
      <c r="D17" s="442">
        <f t="shared" si="0"/>
        <v>10280.423658551726</v>
      </c>
      <c r="E17" s="442">
        <f t="shared" si="1"/>
        <v>12336.508390262072</v>
      </c>
      <c r="F17" s="449">
        <f>+F12</f>
        <v>0</v>
      </c>
      <c r="G17" s="442">
        <f t="shared" si="2"/>
        <v>12336.508390262072</v>
      </c>
      <c r="H17" s="474">
        <f t="shared" si="3"/>
        <v>1.2</v>
      </c>
      <c r="I17" s="441"/>
      <c r="J17" s="474">
        <f t="shared" si="4"/>
        <v>0</v>
      </c>
      <c r="K17" s="204"/>
    </row>
    <row r="18" spans="1:11" x14ac:dyDescent="0.25">
      <c r="A18" s="205"/>
      <c r="B18" s="210"/>
      <c r="C18" s="473">
        <v>1.25</v>
      </c>
      <c r="D18" s="442">
        <f t="shared" si="0"/>
        <v>10280.423658551726</v>
      </c>
      <c r="E18" s="442">
        <f t="shared" si="1"/>
        <v>12850.529573189659</v>
      </c>
      <c r="F18" s="449">
        <f>+F12</f>
        <v>0</v>
      </c>
      <c r="G18" s="442">
        <f t="shared" si="2"/>
        <v>12850.529573189659</v>
      </c>
      <c r="H18" s="474">
        <f t="shared" si="3"/>
        <v>1.25</v>
      </c>
      <c r="I18" s="441"/>
      <c r="J18" s="474">
        <f t="shared" si="4"/>
        <v>0</v>
      </c>
      <c r="K18" s="204"/>
    </row>
    <row r="19" spans="1:11" x14ac:dyDescent="0.25">
      <c r="A19" s="205"/>
      <c r="B19" s="210"/>
      <c r="C19" s="473">
        <v>1.5</v>
      </c>
      <c r="D19" s="442">
        <f t="shared" si="0"/>
        <v>10280.423658551726</v>
      </c>
      <c r="E19" s="442">
        <f t="shared" si="1"/>
        <v>15420.635487827589</v>
      </c>
      <c r="F19" s="449">
        <f>+F12</f>
        <v>0</v>
      </c>
      <c r="G19" s="442">
        <f t="shared" si="2"/>
        <v>15420.635487827589</v>
      </c>
      <c r="H19" s="474">
        <f t="shared" si="3"/>
        <v>1.5</v>
      </c>
      <c r="I19" s="441"/>
      <c r="J19" s="474">
        <f t="shared" si="4"/>
        <v>0</v>
      </c>
      <c r="K19" s="204"/>
    </row>
    <row r="20" spans="1:11" x14ac:dyDescent="0.25">
      <c r="A20" s="205"/>
      <c r="B20" s="210"/>
      <c r="C20" s="473">
        <v>2</v>
      </c>
      <c r="D20" s="442">
        <f t="shared" si="0"/>
        <v>10280.423658551726</v>
      </c>
      <c r="E20" s="442">
        <f t="shared" si="1"/>
        <v>20560.847317103453</v>
      </c>
      <c r="F20" s="449">
        <f>+F12</f>
        <v>0</v>
      </c>
      <c r="G20" s="442">
        <f t="shared" si="2"/>
        <v>20560.847317103453</v>
      </c>
      <c r="H20" s="474">
        <f t="shared" si="3"/>
        <v>2</v>
      </c>
      <c r="I20" s="441"/>
      <c r="J20" s="474">
        <f t="shared" si="4"/>
        <v>0</v>
      </c>
      <c r="K20" s="204"/>
    </row>
    <row r="21" spans="1:11" x14ac:dyDescent="0.25">
      <c r="A21" s="205"/>
      <c r="B21" s="210"/>
      <c r="C21" s="210"/>
      <c r="D21" s="210"/>
      <c r="E21" s="210"/>
      <c r="F21" s="210"/>
      <c r="G21" s="210"/>
      <c r="H21" s="210"/>
      <c r="I21" s="441"/>
      <c r="J21" s="210"/>
      <c r="K21" s="204"/>
    </row>
    <row r="22" spans="1:11" s="455" customFormat="1" x14ac:dyDescent="0.25">
      <c r="A22" s="452"/>
      <c r="B22" s="349"/>
      <c r="C22" s="453" t="s">
        <v>507</v>
      </c>
      <c r="D22" s="349"/>
      <c r="E22" s="349"/>
      <c r="F22" s="349"/>
      <c r="G22" s="349"/>
      <c r="H22" s="349"/>
      <c r="I22" s="349"/>
      <c r="J22" s="349"/>
      <c r="K22" s="454"/>
    </row>
    <row r="23" spans="1:11" s="455" customFormat="1" x14ac:dyDescent="0.25">
      <c r="A23" s="452"/>
      <c r="B23" s="349"/>
      <c r="C23" s="471" t="s">
        <v>508</v>
      </c>
      <c r="D23" s="456">
        <f>+'Pass Fail Status'!F22</f>
        <v>12000000</v>
      </c>
      <c r="E23" s="349"/>
      <c r="F23" s="349"/>
      <c r="G23" s="349"/>
      <c r="H23" s="349"/>
      <c r="I23" s="349"/>
      <c r="J23" s="349"/>
      <c r="K23" s="454"/>
    </row>
    <row r="24" spans="1:11" s="455" customFormat="1" x14ac:dyDescent="0.25">
      <c r="A24" s="452"/>
      <c r="B24" s="349"/>
      <c r="C24" s="471" t="s">
        <v>509</v>
      </c>
      <c r="D24" s="457">
        <f>+'Pass Fail Status'!F23</f>
        <v>3.4000000000000002E-2</v>
      </c>
      <c r="E24" s="349"/>
      <c r="F24" s="349"/>
      <c r="G24" s="349"/>
      <c r="H24" s="349"/>
      <c r="I24" s="349"/>
      <c r="J24" s="349"/>
      <c r="K24" s="454"/>
    </row>
    <row r="25" spans="1:11" s="455" customFormat="1" x14ac:dyDescent="0.25">
      <c r="A25" s="452"/>
      <c r="B25" s="349"/>
      <c r="C25" s="471" t="s">
        <v>510</v>
      </c>
      <c r="D25" s="349">
        <f>+'Pass Fail Status'!F24</f>
        <v>35</v>
      </c>
      <c r="E25" s="349"/>
      <c r="F25" s="349"/>
      <c r="G25" s="349"/>
      <c r="H25" s="349"/>
      <c r="I25" s="349"/>
      <c r="J25" s="349"/>
      <c r="K25" s="454"/>
    </row>
    <row r="26" spans="1:11" s="455" customFormat="1" x14ac:dyDescent="0.25">
      <c r="A26" s="452"/>
      <c r="B26" s="349"/>
      <c r="C26" s="471" t="s">
        <v>511</v>
      </c>
      <c r="D26" s="458">
        <f>+PMT(D24/12,D25*12,-D23)</f>
        <v>48902.118292758627</v>
      </c>
      <c r="E26" s="349"/>
      <c r="F26" s="349"/>
      <c r="G26" s="349"/>
      <c r="H26" s="349"/>
      <c r="I26" s="349"/>
      <c r="J26" s="349"/>
      <c r="K26" s="454"/>
    </row>
    <row r="27" spans="1:11" s="455" customFormat="1" ht="30" x14ac:dyDescent="0.25">
      <c r="A27" s="452"/>
      <c r="B27" s="349"/>
      <c r="C27" s="471" t="s">
        <v>512</v>
      </c>
      <c r="D27" s="458">
        <f>+D26*12</f>
        <v>586825.41951310355</v>
      </c>
      <c r="E27" s="349"/>
      <c r="F27" s="349"/>
      <c r="G27" s="349"/>
      <c r="H27" s="349"/>
      <c r="I27" s="349"/>
      <c r="J27" s="349"/>
      <c r="K27" s="454"/>
    </row>
    <row r="28" spans="1:11" s="455" customFormat="1" ht="30" x14ac:dyDescent="0.25">
      <c r="A28" s="452"/>
      <c r="B28" s="349"/>
      <c r="C28" s="471" t="s">
        <v>513</v>
      </c>
      <c r="D28" s="459">
        <f>+'eTool Data Engine'!C23</f>
        <v>60</v>
      </c>
      <c r="E28" s="349"/>
      <c r="F28" s="349"/>
      <c r="G28" s="349"/>
      <c r="H28" s="349"/>
      <c r="I28" s="349"/>
      <c r="J28" s="349"/>
      <c r="K28" s="454"/>
    </row>
    <row r="29" spans="1:11" s="455" customFormat="1" ht="30" x14ac:dyDescent="0.25">
      <c r="A29" s="452"/>
      <c r="B29" s="349"/>
      <c r="C29" s="471" t="s">
        <v>514</v>
      </c>
      <c r="D29" s="458">
        <f>+D27/D28</f>
        <v>9780.4236585517265</v>
      </c>
      <c r="E29" s="349"/>
      <c r="F29" s="349"/>
      <c r="G29" s="349"/>
      <c r="H29" s="349"/>
      <c r="I29" s="349"/>
      <c r="J29" s="349"/>
      <c r="K29" s="454"/>
    </row>
    <row r="30" spans="1:11" s="455" customFormat="1" x14ac:dyDescent="0.25">
      <c r="A30" s="452"/>
      <c r="B30" s="349"/>
      <c r="C30" s="471" t="s">
        <v>515</v>
      </c>
      <c r="D30" s="457">
        <f>+D27/D23</f>
        <v>4.8902118292758631E-2</v>
      </c>
      <c r="E30" s="349"/>
      <c r="F30" s="349"/>
      <c r="G30" s="349"/>
      <c r="H30" s="349"/>
      <c r="I30" s="349"/>
      <c r="J30" s="349"/>
      <c r="K30" s="454"/>
    </row>
    <row r="31" spans="1:11" s="455" customFormat="1" x14ac:dyDescent="0.25">
      <c r="A31" s="452"/>
      <c r="B31" s="349"/>
      <c r="C31" s="471" t="s">
        <v>516</v>
      </c>
      <c r="D31" s="443">
        <v>2.5000000000000001E-3</v>
      </c>
      <c r="E31" s="349"/>
      <c r="F31" s="349"/>
      <c r="G31" s="349"/>
      <c r="H31" s="349"/>
      <c r="I31" s="349"/>
      <c r="J31" s="349"/>
      <c r="K31" s="454"/>
    </row>
    <row r="32" spans="1:11" s="455" customFormat="1" ht="30" x14ac:dyDescent="0.25">
      <c r="A32" s="452"/>
      <c r="B32" s="349"/>
      <c r="C32" s="471" t="s">
        <v>517</v>
      </c>
      <c r="D32" s="457">
        <f>+D30+D31</f>
        <v>5.1402118292758633E-2</v>
      </c>
      <c r="E32" s="349"/>
      <c r="F32" s="349"/>
      <c r="G32" s="349"/>
      <c r="H32" s="349"/>
      <c r="I32" s="349"/>
      <c r="J32" s="349"/>
      <c r="K32" s="454"/>
    </row>
    <row r="33" spans="1:11" s="455" customFormat="1" ht="30" x14ac:dyDescent="0.25">
      <c r="A33" s="452"/>
      <c r="B33" s="349"/>
      <c r="C33" s="471" t="s">
        <v>518</v>
      </c>
      <c r="D33" s="456">
        <f>+D23</f>
        <v>12000000</v>
      </c>
      <c r="E33" s="349"/>
      <c r="F33" s="349"/>
      <c r="G33" s="349"/>
      <c r="H33" s="349"/>
      <c r="I33" s="349"/>
      <c r="J33" s="349"/>
      <c r="K33" s="454"/>
    </row>
    <row r="34" spans="1:11" s="455" customFormat="1" ht="30" x14ac:dyDescent="0.25">
      <c r="A34" s="452"/>
      <c r="B34" s="349"/>
      <c r="C34" s="471" t="s">
        <v>519</v>
      </c>
      <c r="D34" s="458">
        <f>+D32*D33</f>
        <v>616825.41951310355</v>
      </c>
      <c r="E34" s="349"/>
      <c r="F34" s="441"/>
      <c r="G34" s="349"/>
      <c r="H34" s="349"/>
      <c r="I34" s="349"/>
      <c r="J34" s="349"/>
      <c r="K34" s="454"/>
    </row>
    <row r="35" spans="1:11" s="455" customFormat="1" ht="19.5" customHeight="1" x14ac:dyDescent="0.25">
      <c r="A35" s="452"/>
      <c r="B35" s="349"/>
      <c r="C35" s="471" t="s">
        <v>513</v>
      </c>
      <c r="D35" s="459">
        <f>+D28</f>
        <v>60</v>
      </c>
      <c r="E35" s="349"/>
      <c r="F35" s="458"/>
      <c r="G35" s="349"/>
      <c r="H35" s="349"/>
      <c r="I35" s="349"/>
      <c r="J35" s="349"/>
      <c r="K35" s="454"/>
    </row>
    <row r="36" spans="1:11" s="455" customFormat="1" ht="45.75" customHeight="1" thickBot="1" x14ac:dyDescent="0.3">
      <c r="A36" s="460"/>
      <c r="B36" s="461"/>
      <c r="C36" s="472" t="s">
        <v>520</v>
      </c>
      <c r="D36" s="462">
        <f>+D34/D35</f>
        <v>10280.423658551726</v>
      </c>
      <c r="E36" s="461"/>
      <c r="F36" s="461"/>
      <c r="G36" s="461"/>
      <c r="H36" s="461"/>
      <c r="I36" s="461"/>
      <c r="J36" s="461"/>
      <c r="K36" s="463"/>
    </row>
  </sheetData>
  <sheetProtection algorithmName="SHA-512" hashValue="7+anVfh/wmhEtpGzyaPrJo3nd7/pOAYIHVw3N5PuYx+84ETcFdqX+Qe+n9TabUafYrfQ39L8ObtizYMVJEDC7A==" saltValue="UfRJA1HtCMZlM2bc9qn4+g==" spinCount="100000" sheet="1" objects="1" scenarios="1"/>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D843C-A34F-4ACB-BB3A-D98E3DD2A128}">
  <sheetPr>
    <tabColor theme="0" tint="-0.34998626667073579"/>
  </sheetPr>
  <dimension ref="A1:Z61"/>
  <sheetViews>
    <sheetView workbookViewId="0"/>
  </sheetViews>
  <sheetFormatPr defaultRowHeight="15" x14ac:dyDescent="0.25"/>
  <cols>
    <col min="1" max="1" width="7.28515625" style="489" customWidth="1"/>
    <col min="2" max="2" width="32" style="489" customWidth="1"/>
    <col min="3" max="3" width="12.7109375" style="489" customWidth="1"/>
    <col min="4" max="4" width="16.5703125" style="489" customWidth="1"/>
    <col min="5" max="5" width="32.42578125" style="489" customWidth="1"/>
    <col min="6" max="6" width="14.28515625" style="489" customWidth="1"/>
    <col min="7" max="25" width="14.5703125" style="489" bestFit="1" customWidth="1"/>
    <col min="26" max="26" width="12.140625" style="489" bestFit="1" customWidth="1"/>
    <col min="27" max="16384" width="9.140625" style="489"/>
  </cols>
  <sheetData>
    <row r="1" spans="1:26" x14ac:dyDescent="0.25">
      <c r="A1" s="490"/>
      <c r="B1" s="1140" t="s">
        <v>45</v>
      </c>
      <c r="C1" s="1141"/>
      <c r="D1" s="1141"/>
      <c r="E1" s="1141"/>
      <c r="F1" s="1141"/>
      <c r="G1" s="1141"/>
      <c r="H1" s="1141"/>
      <c r="I1" s="1142"/>
      <c r="J1" s="495"/>
      <c r="K1" s="495"/>
      <c r="L1" s="495"/>
      <c r="M1" s="495"/>
      <c r="N1" s="495"/>
      <c r="O1" s="495"/>
      <c r="P1" s="495"/>
      <c r="Q1" s="495"/>
      <c r="R1" s="495"/>
      <c r="S1" s="495"/>
      <c r="T1" s="495"/>
      <c r="U1" s="495"/>
      <c r="V1" s="495"/>
      <c r="W1" s="495"/>
      <c r="X1" s="495"/>
      <c r="Y1" s="495"/>
      <c r="Z1" s="492"/>
    </row>
    <row r="2" spans="1:26" x14ac:dyDescent="0.25">
      <c r="A2" s="490"/>
      <c r="B2" s="1143"/>
      <c r="C2" s="1144"/>
      <c r="D2" s="1144"/>
      <c r="E2" s="1144"/>
      <c r="F2" s="1144"/>
      <c r="G2" s="1144"/>
      <c r="H2" s="1144"/>
      <c r="I2" s="1145"/>
      <c r="J2" s="495"/>
      <c r="K2" s="499"/>
      <c r="L2" s="495"/>
      <c r="M2" s="495"/>
      <c r="N2" s="495"/>
      <c r="O2" s="495"/>
      <c r="P2" s="495"/>
      <c r="Q2" s="495"/>
      <c r="R2" s="495"/>
      <c r="S2" s="495"/>
      <c r="T2" s="495"/>
      <c r="U2" s="495"/>
      <c r="V2" s="495"/>
      <c r="W2" s="495"/>
      <c r="X2" s="495"/>
      <c r="Y2" s="495"/>
      <c r="Z2" s="492"/>
    </row>
    <row r="3" spans="1:26" x14ac:dyDescent="0.25">
      <c r="A3" s="490"/>
      <c r="B3" s="1143"/>
      <c r="C3" s="1144"/>
      <c r="D3" s="1144"/>
      <c r="E3" s="1144"/>
      <c r="F3" s="1144"/>
      <c r="G3" s="1144"/>
      <c r="H3" s="1144"/>
      <c r="I3" s="1145"/>
      <c r="J3" s="495"/>
      <c r="K3" s="495"/>
      <c r="L3" s="495"/>
      <c r="M3" s="495"/>
      <c r="N3" s="495"/>
      <c r="O3" s="495"/>
      <c r="P3" s="495"/>
      <c r="Q3" s="495"/>
      <c r="R3" s="495"/>
      <c r="S3" s="495"/>
      <c r="T3" s="495"/>
      <c r="U3" s="495"/>
      <c r="V3" s="495"/>
      <c r="W3" s="495"/>
      <c r="X3" s="495"/>
      <c r="Y3" s="495"/>
      <c r="Z3" s="492"/>
    </row>
    <row r="4" spans="1:26" x14ac:dyDescent="0.25">
      <c r="A4" s="490"/>
      <c r="B4" s="1143"/>
      <c r="C4" s="1144"/>
      <c r="D4" s="1144"/>
      <c r="E4" s="1144"/>
      <c r="F4" s="1144"/>
      <c r="G4" s="1144"/>
      <c r="H4" s="1144"/>
      <c r="I4" s="1145"/>
      <c r="J4" s="495"/>
      <c r="K4" s="495"/>
      <c r="L4" s="495"/>
      <c r="M4" s="495"/>
      <c r="N4" s="495"/>
      <c r="O4" s="495"/>
      <c r="P4" s="495"/>
      <c r="Q4" s="495"/>
      <c r="R4" s="495"/>
      <c r="S4" s="495"/>
      <c r="T4" s="495"/>
      <c r="U4" s="495"/>
      <c r="V4" s="495"/>
      <c r="W4" s="495"/>
      <c r="X4" s="495"/>
      <c r="Y4" s="495"/>
      <c r="Z4" s="492"/>
    </row>
    <row r="5" spans="1:26" x14ac:dyDescent="0.25">
      <c r="A5" s="490"/>
      <c r="B5" s="1143"/>
      <c r="C5" s="1144"/>
      <c r="D5" s="1144"/>
      <c r="E5" s="1144"/>
      <c r="F5" s="1144"/>
      <c r="G5" s="1144"/>
      <c r="H5" s="1144"/>
      <c r="I5" s="1145"/>
      <c r="J5" s="495"/>
      <c r="K5" s="495"/>
      <c r="L5" s="495"/>
      <c r="M5" s="495"/>
      <c r="N5" s="495"/>
      <c r="O5" s="495"/>
      <c r="P5" s="495"/>
      <c r="Q5" s="495"/>
      <c r="R5" s="495"/>
      <c r="S5" s="495"/>
      <c r="T5" s="495"/>
      <c r="U5" s="495"/>
      <c r="V5" s="495"/>
      <c r="W5" s="495"/>
      <c r="X5" s="495"/>
      <c r="Y5" s="495"/>
      <c r="Z5" s="492"/>
    </row>
    <row r="6" spans="1:26" x14ac:dyDescent="0.25">
      <c r="A6" s="490"/>
      <c r="B6" s="1143"/>
      <c r="C6" s="1144"/>
      <c r="D6" s="1144"/>
      <c r="E6" s="1144"/>
      <c r="F6" s="1144"/>
      <c r="G6" s="1144"/>
      <c r="H6" s="1144"/>
      <c r="I6" s="1145"/>
      <c r="J6" s="495"/>
      <c r="K6" s="495"/>
      <c r="L6" s="495"/>
      <c r="M6" s="495"/>
      <c r="N6" s="495"/>
      <c r="O6" s="495"/>
      <c r="P6" s="495"/>
      <c r="Q6" s="495"/>
      <c r="R6" s="495"/>
      <c r="S6" s="495"/>
      <c r="T6" s="495"/>
      <c r="U6" s="495"/>
      <c r="V6" s="495"/>
      <c r="W6" s="495"/>
      <c r="X6" s="495"/>
      <c r="Y6" s="495"/>
      <c r="Z6" s="492"/>
    </row>
    <row r="7" spans="1:26" ht="15.75" thickBot="1" x14ac:dyDescent="0.3">
      <c r="A7" s="490"/>
      <c r="B7" s="1146"/>
      <c r="C7" s="1147"/>
      <c r="D7" s="1147"/>
      <c r="E7" s="1147"/>
      <c r="F7" s="1147"/>
      <c r="G7" s="1147"/>
      <c r="H7" s="1147"/>
      <c r="I7" s="1148"/>
      <c r="J7" s="495"/>
      <c r="K7" s="495"/>
      <c r="L7" s="495"/>
      <c r="M7" s="495"/>
      <c r="N7" s="495"/>
      <c r="O7" s="495"/>
      <c r="P7" s="495"/>
      <c r="Q7" s="495"/>
      <c r="R7" s="495"/>
      <c r="S7" s="495"/>
      <c r="T7" s="495"/>
      <c r="U7" s="495"/>
      <c r="V7" s="495"/>
      <c r="W7" s="495"/>
      <c r="X7" s="495"/>
      <c r="Y7" s="495"/>
      <c r="Z7" s="492"/>
    </row>
    <row r="8" spans="1:26" x14ac:dyDescent="0.25">
      <c r="A8" s="500" t="s">
        <v>46</v>
      </c>
      <c r="B8" s="501"/>
      <c r="C8" s="502"/>
      <c r="D8" s="503"/>
      <c r="E8" s="504" t="s">
        <v>47</v>
      </c>
      <c r="F8" s="505" t="str">
        <f>+'eTool Data'!F2</f>
        <v>Year 01</v>
      </c>
      <c r="G8" s="505" t="str">
        <f>+'eTool Data'!G2</f>
        <v>Year 02</v>
      </c>
      <c r="H8" s="505" t="str">
        <f>+'eTool Data'!H2</f>
        <v>Year 03</v>
      </c>
      <c r="I8" s="505" t="str">
        <f>+'eTool Data'!I2</f>
        <v>Year 04</v>
      </c>
      <c r="J8" s="505" t="str">
        <f>+'eTool Data'!J2</f>
        <v>Year 05</v>
      </c>
      <c r="K8" s="505" t="str">
        <f>+'eTool Data'!K2</f>
        <v>Year 06</v>
      </c>
      <c r="L8" s="505" t="str">
        <f>+'eTool Data'!L2</f>
        <v>Year 07</v>
      </c>
      <c r="M8" s="505" t="str">
        <f>+'eTool Data'!M2</f>
        <v>Year 08</v>
      </c>
      <c r="N8" s="505" t="str">
        <f>+'eTool Data'!N2</f>
        <v>Year 09</v>
      </c>
      <c r="O8" s="505" t="str">
        <f>+'eTool Data'!O2</f>
        <v>Year 10</v>
      </c>
      <c r="P8" s="505" t="str">
        <f>+'eTool Data'!P2</f>
        <v>Year 11</v>
      </c>
      <c r="Q8" s="505" t="str">
        <f>+'eTool Data'!Q2</f>
        <v>Year 12</v>
      </c>
      <c r="R8" s="505" t="str">
        <f>+'eTool Data'!R2</f>
        <v>Year 13</v>
      </c>
      <c r="S8" s="505" t="str">
        <f>+'eTool Data'!S2</f>
        <v>Year 14</v>
      </c>
      <c r="T8" s="505" t="str">
        <f>+'eTool Data'!T2</f>
        <v>Year 15</v>
      </c>
      <c r="U8" s="505" t="str">
        <f>+'eTool Data'!U2</f>
        <v>Year 16</v>
      </c>
      <c r="V8" s="505" t="str">
        <f>+'eTool Data'!V2</f>
        <v>Year 17</v>
      </c>
      <c r="W8" s="505" t="str">
        <f>+'eTool Data'!W2</f>
        <v>Year 18</v>
      </c>
      <c r="X8" s="505" t="str">
        <f>+'eTool Data'!X2</f>
        <v>Year 19</v>
      </c>
      <c r="Y8" s="506" t="str">
        <f>+'eTool Data'!Y2</f>
        <v>Year 20</v>
      </c>
      <c r="Z8" s="492"/>
    </row>
    <row r="9" spans="1:26" ht="15.75" thickBot="1" x14ac:dyDescent="0.3">
      <c r="A9" s="507" t="s">
        <v>48</v>
      </c>
      <c r="B9" s="508"/>
      <c r="C9" s="508"/>
      <c r="D9" s="509"/>
      <c r="E9" s="510" t="s">
        <v>49</v>
      </c>
      <c r="F9" s="511">
        <f>+('eTool Data'!F3-'eTool Data'!$F$3)*12</f>
        <v>0</v>
      </c>
      <c r="G9" s="511">
        <f>+('eTool Data'!G3-'eTool Data'!$F$3)*12</f>
        <v>12</v>
      </c>
      <c r="H9" s="511">
        <f>+('eTool Data'!H3-'eTool Data'!$F$3)*12</f>
        <v>24</v>
      </c>
      <c r="I9" s="511">
        <f>+('eTool Data'!I3-'eTool Data'!$F$3)*12</f>
        <v>36</v>
      </c>
      <c r="J9" s="511">
        <f>+('eTool Data'!J3-'eTool Data'!$F$3)*12</f>
        <v>48</v>
      </c>
      <c r="K9" s="511">
        <f>+('eTool Data'!K3-'eTool Data'!$F$3)*12</f>
        <v>60</v>
      </c>
      <c r="L9" s="511">
        <f>+('eTool Data'!L3-'eTool Data'!$F$3)*12</f>
        <v>72</v>
      </c>
      <c r="M9" s="511">
        <f>+('eTool Data'!M3-'eTool Data'!$F$3)*12</f>
        <v>84</v>
      </c>
      <c r="N9" s="511">
        <f>+('eTool Data'!N3-'eTool Data'!$F$3)*12</f>
        <v>96</v>
      </c>
      <c r="O9" s="511">
        <f>+('eTool Data'!O3-'eTool Data'!$F$3)*12</f>
        <v>108</v>
      </c>
      <c r="P9" s="511">
        <f>+('eTool Data'!P3-'eTool Data'!$F$3)*12</f>
        <v>120</v>
      </c>
      <c r="Q9" s="511">
        <f>+('eTool Data'!Q3-'eTool Data'!$F$3)*12</f>
        <v>132</v>
      </c>
      <c r="R9" s="511">
        <f>+('eTool Data'!R3-'eTool Data'!$F$3)*12</f>
        <v>144</v>
      </c>
      <c r="S9" s="511">
        <f>+('eTool Data'!S3-'eTool Data'!$F$3)*12</f>
        <v>156</v>
      </c>
      <c r="T9" s="511">
        <f>+('eTool Data'!T3-'eTool Data'!$F$3)*12</f>
        <v>168</v>
      </c>
      <c r="U9" s="511">
        <f>+('eTool Data'!U3-'eTool Data'!$F$3)*12</f>
        <v>180</v>
      </c>
      <c r="V9" s="511">
        <f>+('eTool Data'!V3-'eTool Data'!$F$3)*12</f>
        <v>192</v>
      </c>
      <c r="W9" s="511">
        <f>+('eTool Data'!W3-'eTool Data'!$F$3)*12</f>
        <v>204</v>
      </c>
      <c r="X9" s="511">
        <f>+('eTool Data'!X3-'eTool Data'!$F$3)*12</f>
        <v>216</v>
      </c>
      <c r="Y9" s="512">
        <f>+('eTool Data'!Y3-'eTool Data'!$F$3)*12</f>
        <v>228</v>
      </c>
      <c r="Z9" s="492"/>
    </row>
    <row r="10" spans="1:26" x14ac:dyDescent="0.25">
      <c r="A10" s="513"/>
      <c r="B10" s="491"/>
      <c r="C10" s="491"/>
      <c r="D10" s="493"/>
      <c r="E10" s="510" t="s">
        <v>50</v>
      </c>
      <c r="F10" s="514">
        <f t="shared" ref="F10:Y10" si="0">+F9+12</f>
        <v>12</v>
      </c>
      <c r="G10" s="514">
        <f t="shared" si="0"/>
        <v>24</v>
      </c>
      <c r="H10" s="514">
        <f t="shared" si="0"/>
        <v>36</v>
      </c>
      <c r="I10" s="514">
        <f t="shared" si="0"/>
        <v>48</v>
      </c>
      <c r="J10" s="514">
        <f t="shared" si="0"/>
        <v>60</v>
      </c>
      <c r="K10" s="514">
        <f t="shared" si="0"/>
        <v>72</v>
      </c>
      <c r="L10" s="514">
        <f t="shared" si="0"/>
        <v>84</v>
      </c>
      <c r="M10" s="514">
        <f t="shared" si="0"/>
        <v>96</v>
      </c>
      <c r="N10" s="514">
        <f t="shared" si="0"/>
        <v>108</v>
      </c>
      <c r="O10" s="514">
        <f t="shared" si="0"/>
        <v>120</v>
      </c>
      <c r="P10" s="514">
        <f t="shared" si="0"/>
        <v>132</v>
      </c>
      <c r="Q10" s="514">
        <f t="shared" si="0"/>
        <v>144</v>
      </c>
      <c r="R10" s="514">
        <f t="shared" si="0"/>
        <v>156</v>
      </c>
      <c r="S10" s="514">
        <f t="shared" si="0"/>
        <v>168</v>
      </c>
      <c r="T10" s="514">
        <f t="shared" si="0"/>
        <v>180</v>
      </c>
      <c r="U10" s="514">
        <f t="shared" si="0"/>
        <v>192</v>
      </c>
      <c r="V10" s="514">
        <f t="shared" si="0"/>
        <v>204</v>
      </c>
      <c r="W10" s="514">
        <f t="shared" si="0"/>
        <v>216</v>
      </c>
      <c r="X10" s="514">
        <f t="shared" si="0"/>
        <v>228</v>
      </c>
      <c r="Y10" s="515">
        <f t="shared" si="0"/>
        <v>240</v>
      </c>
      <c r="Z10" s="492"/>
    </row>
    <row r="11" spans="1:26" x14ac:dyDescent="0.25">
      <c r="A11" s="490"/>
      <c r="B11" s="493"/>
      <c r="C11" s="493"/>
      <c r="D11" s="493"/>
      <c r="E11" s="510" t="s">
        <v>51</v>
      </c>
      <c r="F11" s="516">
        <f t="shared" ref="F11:Y11" si="1">-+PV($C$16/12,$C$15*12-F9,$C$17)</f>
        <v>11999999.999999916</v>
      </c>
      <c r="G11" s="516">
        <f t="shared" si="1"/>
        <v>11818361.397023911</v>
      </c>
      <c r="H11" s="516">
        <f t="shared" si="1"/>
        <v>11630449.928623339</v>
      </c>
      <c r="I11" s="516">
        <f t="shared" si="1"/>
        <v>11436048.962210255</v>
      </c>
      <c r="J11" s="516">
        <f t="shared" si="1"/>
        <v>11234934.38381858</v>
      </c>
      <c r="K11" s="516">
        <f t="shared" si="1"/>
        <v>11026874.339735698</v>
      </c>
      <c r="L11" s="516">
        <f t="shared" si="1"/>
        <v>10811628.969211319</v>
      </c>
      <c r="M11" s="516">
        <f t="shared" si="1"/>
        <v>10588950.127935473</v>
      </c>
      <c r="N11" s="516">
        <f t="shared" si="1"/>
        <v>10358581.101966863</v>
      </c>
      <c r="O11" s="516">
        <f t="shared" si="1"/>
        <v>10120256.311781771</v>
      </c>
      <c r="P11" s="516">
        <f t="shared" si="1"/>
        <v>9873701.0061023179</v>
      </c>
      <c r="Q11" s="516">
        <f t="shared" si="1"/>
        <v>9618630.9451511409</v>
      </c>
      <c r="R11" s="516">
        <f t="shared" si="1"/>
        <v>9354752.072967289</v>
      </c>
      <c r="S11" s="516">
        <f t="shared" si="1"/>
        <v>9081760.1784056313</v>
      </c>
      <c r="T11" s="516">
        <f t="shared" si="1"/>
        <v>8799340.5444288645</v>
      </c>
      <c r="U11" s="516">
        <f t="shared" si="1"/>
        <v>8507167.5852879342</v>
      </c>
      <c r="V11" s="516">
        <f t="shared" si="1"/>
        <v>8204904.4711724576</v>
      </c>
      <c r="W11" s="516">
        <f t="shared" si="1"/>
        <v>7892202.7398985717</v>
      </c>
      <c r="X11" s="516">
        <f t="shared" si="1"/>
        <v>7568701.8951863991</v>
      </c>
      <c r="Y11" s="517">
        <f t="shared" si="1"/>
        <v>7234028.9910641564</v>
      </c>
      <c r="Z11" s="492"/>
    </row>
    <row r="12" spans="1:26" x14ac:dyDescent="0.25">
      <c r="A12" s="1135" t="s">
        <v>52</v>
      </c>
      <c r="B12" s="1136"/>
      <c r="C12" s="1136"/>
      <c r="D12" s="1137"/>
      <c r="E12" s="510" t="s">
        <v>53</v>
      </c>
      <c r="F12" s="516">
        <f t="shared" ref="F12:Y12" si="2">-+PV($C$16/12,$C$15*12-F9-12,$C$17)</f>
        <v>11818361.397023911</v>
      </c>
      <c r="G12" s="516">
        <f t="shared" si="2"/>
        <v>11630449.928623339</v>
      </c>
      <c r="H12" s="516">
        <f t="shared" si="2"/>
        <v>11436048.962210255</v>
      </c>
      <c r="I12" s="516">
        <f t="shared" si="2"/>
        <v>11234934.38381858</v>
      </c>
      <c r="J12" s="516">
        <f t="shared" si="2"/>
        <v>11026874.339735698</v>
      </c>
      <c r="K12" s="516">
        <f t="shared" si="2"/>
        <v>10811628.969211319</v>
      </c>
      <c r="L12" s="516">
        <f t="shared" si="2"/>
        <v>10588950.127935473</v>
      </c>
      <c r="M12" s="516">
        <f t="shared" si="2"/>
        <v>10358581.101966863</v>
      </c>
      <c r="N12" s="516">
        <f t="shared" si="2"/>
        <v>10120256.311781771</v>
      </c>
      <c r="O12" s="516">
        <f t="shared" si="2"/>
        <v>9873701.0061023179</v>
      </c>
      <c r="P12" s="516">
        <f t="shared" si="2"/>
        <v>9618630.9451511409</v>
      </c>
      <c r="Q12" s="516">
        <f t="shared" si="2"/>
        <v>9354752.072967289</v>
      </c>
      <c r="R12" s="516">
        <f t="shared" si="2"/>
        <v>9081760.1784056313</v>
      </c>
      <c r="S12" s="516">
        <f t="shared" si="2"/>
        <v>8799340.5444288645</v>
      </c>
      <c r="T12" s="516">
        <f t="shared" si="2"/>
        <v>8507167.5852879342</v>
      </c>
      <c r="U12" s="516">
        <f t="shared" si="2"/>
        <v>8204904.4711724576</v>
      </c>
      <c r="V12" s="516">
        <f t="shared" si="2"/>
        <v>7892202.7398985717</v>
      </c>
      <c r="W12" s="516">
        <f t="shared" si="2"/>
        <v>7568701.8951863991</v>
      </c>
      <c r="X12" s="516">
        <f t="shared" si="2"/>
        <v>7234028.9910641564</v>
      </c>
      <c r="Y12" s="517">
        <f t="shared" si="2"/>
        <v>6887798.2019196181</v>
      </c>
      <c r="Z12" s="492"/>
    </row>
    <row r="13" spans="1:26" x14ac:dyDescent="0.25">
      <c r="A13" s="1135"/>
      <c r="B13" s="1136"/>
      <c r="C13" s="1136"/>
      <c r="D13" s="1137"/>
      <c r="E13" s="510" t="s">
        <v>54</v>
      </c>
      <c r="F13" s="516">
        <f t="shared" ref="F13:Y13" si="3">+CUMPRINC($C$16/12,$C$15*12,$C$14,F9+1,F10,0)</f>
        <v>-181638.60297600797</v>
      </c>
      <c r="G13" s="516">
        <f t="shared" si="3"/>
        <v>-187911.46840057016</v>
      </c>
      <c r="H13" s="516">
        <f t="shared" si="3"/>
        <v>-194400.96641308433</v>
      </c>
      <c r="I13" s="516">
        <f t="shared" si="3"/>
        <v>-201114.57839167444</v>
      </c>
      <c r="J13" s="516">
        <f t="shared" si="3"/>
        <v>-208060.04408288095</v>
      </c>
      <c r="K13" s="516">
        <f t="shared" si="3"/>
        <v>-215245.37052437963</v>
      </c>
      <c r="L13" s="516">
        <f t="shared" si="3"/>
        <v>-222678.84127584656</v>
      </c>
      <c r="M13" s="516">
        <f t="shared" si="3"/>
        <v>-230369.02596860891</v>
      </c>
      <c r="N13" s="516">
        <f t="shared" si="3"/>
        <v>-238324.79018509231</v>
      </c>
      <c r="O13" s="516">
        <f t="shared" si="3"/>
        <v>-246555.30567945325</v>
      </c>
      <c r="P13" s="516">
        <f t="shared" si="3"/>
        <v>-255070.06095117977</v>
      </c>
      <c r="Q13" s="516">
        <f t="shared" si="3"/>
        <v>-263878.87218385021</v>
      </c>
      <c r="R13" s="516">
        <f t="shared" si="3"/>
        <v>-272991.89456166036</v>
      </c>
      <c r="S13" s="516">
        <f t="shared" si="3"/>
        <v>-282419.63397676573</v>
      </c>
      <c r="T13" s="516">
        <f t="shared" si="3"/>
        <v>-292172.95914093452</v>
      </c>
      <c r="U13" s="516">
        <f t="shared" si="3"/>
        <v>-302263.11411547643</v>
      </c>
      <c r="V13" s="516">
        <f t="shared" si="3"/>
        <v>-312701.73127388902</v>
      </c>
      <c r="W13" s="516">
        <f t="shared" si="3"/>
        <v>-323500.84471216967</v>
      </c>
      <c r="X13" s="516">
        <f t="shared" si="3"/>
        <v>-334672.90412224823</v>
      </c>
      <c r="Y13" s="517">
        <f t="shared" si="3"/>
        <v>-346230.78914453927</v>
      </c>
      <c r="Z13" s="492"/>
    </row>
    <row r="14" spans="1:26" x14ac:dyDescent="0.25">
      <c r="A14" s="518"/>
      <c r="B14" s="519" t="s">
        <v>55</v>
      </c>
      <c r="C14" s="520">
        <f>+'eTool Data Analysis'!$C$23</f>
        <v>12000000</v>
      </c>
      <c r="D14" s="493"/>
      <c r="E14" s="510" t="s">
        <v>56</v>
      </c>
      <c r="F14" s="516">
        <f t="shared" ref="F14:Y14" si="4">+$F$11-F12</f>
        <v>181638.60297600552</v>
      </c>
      <c r="G14" s="516">
        <f t="shared" si="4"/>
        <v>369550.07137657702</v>
      </c>
      <c r="H14" s="516">
        <f t="shared" si="4"/>
        <v>563951.03778966144</v>
      </c>
      <c r="I14" s="516">
        <f t="shared" si="4"/>
        <v>765065.61618133634</v>
      </c>
      <c r="J14" s="516">
        <f t="shared" si="4"/>
        <v>973125.66026421823</v>
      </c>
      <c r="K14" s="516">
        <f t="shared" si="4"/>
        <v>1188371.0307885967</v>
      </c>
      <c r="L14" s="516">
        <f t="shared" si="4"/>
        <v>1411049.8720644433</v>
      </c>
      <c r="M14" s="516">
        <f t="shared" si="4"/>
        <v>1641418.8980330527</v>
      </c>
      <c r="N14" s="516">
        <f t="shared" si="4"/>
        <v>1879743.6882181447</v>
      </c>
      <c r="O14" s="516">
        <f t="shared" si="4"/>
        <v>2126298.9938975982</v>
      </c>
      <c r="P14" s="516">
        <f t="shared" si="4"/>
        <v>2381369.0548487753</v>
      </c>
      <c r="Q14" s="516">
        <f t="shared" si="4"/>
        <v>2645247.9270326272</v>
      </c>
      <c r="R14" s="516">
        <f t="shared" si="4"/>
        <v>2918239.8215942848</v>
      </c>
      <c r="S14" s="516">
        <f t="shared" si="4"/>
        <v>3200659.4555710517</v>
      </c>
      <c r="T14" s="516">
        <f t="shared" si="4"/>
        <v>3492832.414711982</v>
      </c>
      <c r="U14" s="516">
        <f t="shared" si="4"/>
        <v>3795095.5288274586</v>
      </c>
      <c r="V14" s="516">
        <f t="shared" si="4"/>
        <v>4107797.2601013444</v>
      </c>
      <c r="W14" s="516">
        <f t="shared" si="4"/>
        <v>4431298.1048135171</v>
      </c>
      <c r="X14" s="516">
        <f t="shared" si="4"/>
        <v>4765971.0089357598</v>
      </c>
      <c r="Y14" s="517">
        <f t="shared" si="4"/>
        <v>5112201.7980802981</v>
      </c>
      <c r="Z14" s="492"/>
    </row>
    <row r="15" spans="1:26" x14ac:dyDescent="0.25">
      <c r="A15" s="518"/>
      <c r="B15" s="521" t="s">
        <v>57</v>
      </c>
      <c r="C15" s="522">
        <f>+'eTool Data Analysis'!$G$23</f>
        <v>35</v>
      </c>
      <c r="D15" s="493"/>
      <c r="E15" s="523" t="str">
        <f>+CONCATENATE("Allowance for RfR deficit offset"," @",+TEXT(C18,"###.00%"))</f>
        <v>Allowance for RfR deficit offset @50.00%</v>
      </c>
      <c r="F15" s="524">
        <f t="shared" ref="F15:Y15" si="5">+$C$18*F14</f>
        <v>90819.301488002762</v>
      </c>
      <c r="G15" s="524">
        <f t="shared" si="5"/>
        <v>184775.03568828851</v>
      </c>
      <c r="H15" s="524">
        <f t="shared" si="5"/>
        <v>281975.51889483072</v>
      </c>
      <c r="I15" s="524">
        <f t="shared" si="5"/>
        <v>382532.80809066817</v>
      </c>
      <c r="J15" s="524">
        <f t="shared" si="5"/>
        <v>486562.83013210911</v>
      </c>
      <c r="K15" s="524">
        <f t="shared" si="5"/>
        <v>594185.51539429836</v>
      </c>
      <c r="L15" s="524">
        <f t="shared" si="5"/>
        <v>705524.93603222165</v>
      </c>
      <c r="M15" s="524">
        <f t="shared" si="5"/>
        <v>820709.44901652634</v>
      </c>
      <c r="N15" s="524">
        <f t="shared" si="5"/>
        <v>939871.84410907235</v>
      </c>
      <c r="O15" s="524">
        <f t="shared" si="5"/>
        <v>1063149.4969487991</v>
      </c>
      <c r="P15" s="524">
        <f t="shared" si="5"/>
        <v>1190684.5274243876</v>
      </c>
      <c r="Q15" s="524">
        <f t="shared" si="5"/>
        <v>1322623.9635163136</v>
      </c>
      <c r="R15" s="524">
        <f t="shared" si="5"/>
        <v>1459119.9107971424</v>
      </c>
      <c r="S15" s="524">
        <f t="shared" si="5"/>
        <v>1600329.7277855258</v>
      </c>
      <c r="T15" s="524">
        <f t="shared" si="5"/>
        <v>1746416.207355991</v>
      </c>
      <c r="U15" s="524">
        <f t="shared" si="5"/>
        <v>1897547.7644137293</v>
      </c>
      <c r="V15" s="524">
        <f t="shared" si="5"/>
        <v>2053898.6300506722</v>
      </c>
      <c r="W15" s="524">
        <f t="shared" si="5"/>
        <v>2215649.0524067585</v>
      </c>
      <c r="X15" s="524">
        <f t="shared" si="5"/>
        <v>2382985.5044678799</v>
      </c>
      <c r="Y15" s="525">
        <f t="shared" si="5"/>
        <v>2556100.8990401491</v>
      </c>
      <c r="Z15" s="492"/>
    </row>
    <row r="16" spans="1:26" x14ac:dyDescent="0.25">
      <c r="A16" s="518"/>
      <c r="B16" s="521" t="s">
        <v>58</v>
      </c>
      <c r="C16" s="526">
        <f>+'eTool Data Analysis'!$E$23</f>
        <v>3.4000000000000002E-2</v>
      </c>
      <c r="D16" s="493"/>
      <c r="E16" s="523" t="s">
        <v>59</v>
      </c>
      <c r="F16" s="516">
        <f t="shared" ref="F16:Y16" si="6">+F18/$C$23</f>
        <v>835.85</v>
      </c>
      <c r="G16" s="516">
        <f t="shared" si="6"/>
        <v>852.56666666666672</v>
      </c>
      <c r="H16" s="516">
        <f t="shared" si="6"/>
        <v>869.61666666666667</v>
      </c>
      <c r="I16" s="516">
        <f t="shared" si="6"/>
        <v>887</v>
      </c>
      <c r="J16" s="516">
        <f t="shared" si="6"/>
        <v>904.75</v>
      </c>
      <c r="K16" s="516">
        <f t="shared" si="6"/>
        <v>922.83333333333337</v>
      </c>
      <c r="L16" s="516">
        <f t="shared" si="6"/>
        <v>941.3</v>
      </c>
      <c r="M16" s="516">
        <f t="shared" si="6"/>
        <v>960.11666666666667</v>
      </c>
      <c r="N16" s="516">
        <f t="shared" si="6"/>
        <v>979.33333333333337</v>
      </c>
      <c r="O16" s="516">
        <f t="shared" si="6"/>
        <v>998.91666666666663</v>
      </c>
      <c r="P16" s="516">
        <f t="shared" si="6"/>
        <v>1018.8833333333333</v>
      </c>
      <c r="Q16" s="516">
        <f t="shared" si="6"/>
        <v>1039.2666666666667</v>
      </c>
      <c r="R16" s="516">
        <f t="shared" si="6"/>
        <v>1060.05</v>
      </c>
      <c r="S16" s="516">
        <f t="shared" si="6"/>
        <v>1081.25</v>
      </c>
      <c r="T16" s="516">
        <f t="shared" si="6"/>
        <v>1102.8833333333334</v>
      </c>
      <c r="U16" s="516">
        <f t="shared" si="6"/>
        <v>1124.9333333333334</v>
      </c>
      <c r="V16" s="516">
        <f t="shared" si="6"/>
        <v>1147.4333333333334</v>
      </c>
      <c r="W16" s="516">
        <f t="shared" si="6"/>
        <v>1170.3833333333334</v>
      </c>
      <c r="X16" s="516">
        <f t="shared" si="6"/>
        <v>1193.8</v>
      </c>
      <c r="Y16" s="516">
        <f t="shared" si="6"/>
        <v>1217.6666666666667</v>
      </c>
      <c r="Z16" s="492"/>
    </row>
    <row r="17" spans="1:26" x14ac:dyDescent="0.25">
      <c r="A17" s="518"/>
      <c r="B17" s="527" t="s">
        <v>60</v>
      </c>
      <c r="C17" s="528">
        <f>-+PMT(C16/12,C15*12,C14)</f>
        <v>48902.118292758627</v>
      </c>
      <c r="D17" s="493"/>
      <c r="E17" s="529" t="s">
        <v>61</v>
      </c>
      <c r="F17" s="530">
        <f>+'eTool Data'!F8</f>
        <v>221800</v>
      </c>
      <c r="G17" s="530">
        <f>+'eTool Data'!G8</f>
        <v>230232</v>
      </c>
      <c r="H17" s="530">
        <f>+'eTool Data'!H8</f>
        <v>177388</v>
      </c>
      <c r="I17" s="530">
        <f>+'eTool Data'!I8</f>
        <v>152219</v>
      </c>
      <c r="J17" s="530">
        <f>+'eTool Data'!J8</f>
        <v>124373</v>
      </c>
      <c r="K17" s="530">
        <f>+'eTool Data'!K8</f>
        <v>99258</v>
      </c>
      <c r="L17" s="530">
        <f>+'eTool Data'!L8</f>
        <v>102679</v>
      </c>
      <c r="M17" s="530">
        <f>+'eTool Data'!M8</f>
        <v>82736</v>
      </c>
      <c r="N17" s="530">
        <f>+'eTool Data'!N8</f>
        <v>76930</v>
      </c>
      <c r="O17" s="530">
        <f>+'eTool Data'!O8</f>
        <v>71502</v>
      </c>
      <c r="P17" s="530">
        <f>+'eTool Data'!P8</f>
        <v>-36983</v>
      </c>
      <c r="Q17" s="530">
        <f>+'eTool Data'!Q8</f>
        <v>-141040</v>
      </c>
      <c r="R17" s="530">
        <f>+'eTool Data'!R8</f>
        <v>-171836</v>
      </c>
      <c r="S17" s="530">
        <f>+'eTool Data'!S8</f>
        <v>-215985</v>
      </c>
      <c r="T17" s="530">
        <f>+'eTool Data'!T8</f>
        <v>-307889</v>
      </c>
      <c r="U17" s="530">
        <f>+'eTool Data'!U8</f>
        <v>-295095</v>
      </c>
      <c r="V17" s="530">
        <f>+'eTool Data'!V8</f>
        <v>-267914</v>
      </c>
      <c r="W17" s="530">
        <f>+'eTool Data'!W8</f>
        <v>-284016</v>
      </c>
      <c r="X17" s="530">
        <f>+'eTool Data'!X8</f>
        <v>-292605</v>
      </c>
      <c r="Y17" s="531">
        <f>+'eTool Data'!Y8</f>
        <v>-560246</v>
      </c>
      <c r="Z17" s="492"/>
    </row>
    <row r="18" spans="1:26" x14ac:dyDescent="0.25">
      <c r="A18" s="518"/>
      <c r="B18" s="527" t="s">
        <v>62</v>
      </c>
      <c r="C18" s="532">
        <f>+'eTool Data Analysis'!$E$27</f>
        <v>0.5</v>
      </c>
      <c r="D18" s="493"/>
      <c r="E18" s="529" t="s">
        <v>63</v>
      </c>
      <c r="F18" s="533">
        <f>+'eTool Data'!F9</f>
        <v>50151</v>
      </c>
      <c r="G18" s="533">
        <f>+'eTool Data'!G9</f>
        <v>51154</v>
      </c>
      <c r="H18" s="533">
        <f>+'eTool Data'!H9</f>
        <v>52177</v>
      </c>
      <c r="I18" s="533">
        <f>+'eTool Data'!I9</f>
        <v>53220</v>
      </c>
      <c r="J18" s="533">
        <f>+'eTool Data'!J9</f>
        <v>54285</v>
      </c>
      <c r="K18" s="533">
        <f>+'eTool Data'!K9</f>
        <v>55370</v>
      </c>
      <c r="L18" s="533">
        <f>+'eTool Data'!L9</f>
        <v>56478</v>
      </c>
      <c r="M18" s="533">
        <f>+'eTool Data'!M9</f>
        <v>57607</v>
      </c>
      <c r="N18" s="533">
        <f>+'eTool Data'!N9</f>
        <v>58760</v>
      </c>
      <c r="O18" s="533">
        <f>+'eTool Data'!O9</f>
        <v>59935</v>
      </c>
      <c r="P18" s="533">
        <f>+'eTool Data'!P9</f>
        <v>61133</v>
      </c>
      <c r="Q18" s="533">
        <f>+'eTool Data'!Q9</f>
        <v>62356</v>
      </c>
      <c r="R18" s="533">
        <f>+'eTool Data'!R9</f>
        <v>63603</v>
      </c>
      <c r="S18" s="533">
        <f>+'eTool Data'!S9</f>
        <v>64875</v>
      </c>
      <c r="T18" s="533">
        <f>+'eTool Data'!T9</f>
        <v>66173</v>
      </c>
      <c r="U18" s="533">
        <f>+'eTool Data'!U9</f>
        <v>67496</v>
      </c>
      <c r="V18" s="533">
        <f>+'eTool Data'!V9</f>
        <v>68846</v>
      </c>
      <c r="W18" s="533">
        <f>+'eTool Data'!W9</f>
        <v>70223</v>
      </c>
      <c r="X18" s="533">
        <f>+'eTool Data'!X9</f>
        <v>71628</v>
      </c>
      <c r="Y18" s="534">
        <f>+'eTool Data'!Y9</f>
        <v>73060</v>
      </c>
      <c r="Z18" s="492"/>
    </row>
    <row r="19" spans="1:26" x14ac:dyDescent="0.25">
      <c r="A19" s="518"/>
      <c r="B19" s="535"/>
      <c r="C19" s="535"/>
      <c r="D19" s="491"/>
      <c r="E19" s="529" t="s">
        <v>64</v>
      </c>
      <c r="F19" s="536">
        <f t="shared" ref="F19:Y19" si="7">+F17-F18</f>
        <v>171649</v>
      </c>
      <c r="G19" s="536">
        <f t="shared" si="7"/>
        <v>179078</v>
      </c>
      <c r="H19" s="536">
        <f t="shared" si="7"/>
        <v>125211</v>
      </c>
      <c r="I19" s="536">
        <f t="shared" si="7"/>
        <v>98999</v>
      </c>
      <c r="J19" s="536">
        <f t="shared" si="7"/>
        <v>70088</v>
      </c>
      <c r="K19" s="536">
        <f t="shared" si="7"/>
        <v>43888</v>
      </c>
      <c r="L19" s="536">
        <f t="shared" si="7"/>
        <v>46201</v>
      </c>
      <c r="M19" s="536">
        <f t="shared" si="7"/>
        <v>25129</v>
      </c>
      <c r="N19" s="536">
        <f t="shared" si="7"/>
        <v>18170</v>
      </c>
      <c r="O19" s="536">
        <f t="shared" si="7"/>
        <v>11567</v>
      </c>
      <c r="P19" s="536">
        <f t="shared" si="7"/>
        <v>-98116</v>
      </c>
      <c r="Q19" s="536">
        <f t="shared" si="7"/>
        <v>-203396</v>
      </c>
      <c r="R19" s="536">
        <f t="shared" si="7"/>
        <v>-235439</v>
      </c>
      <c r="S19" s="536">
        <f t="shared" si="7"/>
        <v>-280860</v>
      </c>
      <c r="T19" s="536">
        <f t="shared" si="7"/>
        <v>-374062</v>
      </c>
      <c r="U19" s="536">
        <f t="shared" si="7"/>
        <v>-362591</v>
      </c>
      <c r="V19" s="536">
        <f t="shared" si="7"/>
        <v>-336760</v>
      </c>
      <c r="W19" s="536">
        <f t="shared" si="7"/>
        <v>-354239</v>
      </c>
      <c r="X19" s="536">
        <f t="shared" si="7"/>
        <v>-364233</v>
      </c>
      <c r="Y19" s="537">
        <f t="shared" si="7"/>
        <v>-633306</v>
      </c>
      <c r="Z19" s="492"/>
    </row>
    <row r="20" spans="1:26" x14ac:dyDescent="0.25">
      <c r="A20" s="538"/>
      <c r="B20" s="519" t="s">
        <v>65</v>
      </c>
      <c r="C20" s="530">
        <f>+'eTool Data'!F4</f>
        <v>200000</v>
      </c>
      <c r="D20" s="493"/>
      <c r="E20" s="523" t="s">
        <v>66</v>
      </c>
      <c r="F20" s="516">
        <f>+'eTool Data'!F4/C23</f>
        <v>3333.3333333333335</v>
      </c>
      <c r="G20" s="539"/>
      <c r="H20" s="539"/>
      <c r="I20" s="539"/>
      <c r="J20" s="539"/>
      <c r="K20" s="539"/>
      <c r="L20" s="539"/>
      <c r="M20" s="539"/>
      <c r="N20" s="539"/>
      <c r="O20" s="540" t="s">
        <v>67</v>
      </c>
      <c r="P20" s="541">
        <f t="shared" ref="P20:Y20" si="8">+P15+P19</f>
        <v>1092568.5274243876</v>
      </c>
      <c r="Q20" s="541">
        <f t="shared" si="8"/>
        <v>1119227.9635163136</v>
      </c>
      <c r="R20" s="541">
        <f t="shared" si="8"/>
        <v>1223680.9107971424</v>
      </c>
      <c r="S20" s="541">
        <f t="shared" si="8"/>
        <v>1319469.7277855258</v>
      </c>
      <c r="T20" s="541">
        <f t="shared" si="8"/>
        <v>1372354.207355991</v>
      </c>
      <c r="U20" s="541">
        <f t="shared" si="8"/>
        <v>1534956.7644137293</v>
      </c>
      <c r="V20" s="541">
        <f t="shared" si="8"/>
        <v>1717138.6300506722</v>
      </c>
      <c r="W20" s="541">
        <f t="shared" si="8"/>
        <v>1861410.0524067585</v>
      </c>
      <c r="X20" s="541">
        <f t="shared" si="8"/>
        <v>2018752.5044678799</v>
      </c>
      <c r="Y20" s="542">
        <f t="shared" si="8"/>
        <v>1922794.8990401491</v>
      </c>
      <c r="Z20" s="492"/>
    </row>
    <row r="21" spans="1:26" x14ac:dyDescent="0.25">
      <c r="A21" s="490"/>
      <c r="B21" s="521" t="s">
        <v>68</v>
      </c>
      <c r="C21" s="530">
        <f>+'eTool Data'!F6</f>
        <v>19800</v>
      </c>
      <c r="D21" s="493"/>
      <c r="E21" s="529" t="s">
        <v>69</v>
      </c>
      <c r="F21" s="539"/>
      <c r="G21" s="539"/>
      <c r="H21" s="539"/>
      <c r="I21" s="539"/>
      <c r="J21" s="539"/>
      <c r="K21" s="539"/>
      <c r="L21" s="539"/>
      <c r="M21" s="539"/>
      <c r="N21" s="539"/>
      <c r="O21" s="543" t="s">
        <v>70</v>
      </c>
      <c r="P21" s="544" t="str">
        <f t="shared" ref="P21:Y21" si="9">+IF(P19&gt;0,"OK",IF(P15&gt;=-P19,"OK","Not OK"))</f>
        <v>OK</v>
      </c>
      <c r="Q21" s="544" t="str">
        <f t="shared" si="9"/>
        <v>OK</v>
      </c>
      <c r="R21" s="544" t="str">
        <f t="shared" si="9"/>
        <v>OK</v>
      </c>
      <c r="S21" s="544" t="str">
        <f t="shared" si="9"/>
        <v>OK</v>
      </c>
      <c r="T21" s="544" t="str">
        <f t="shared" si="9"/>
        <v>OK</v>
      </c>
      <c r="U21" s="544" t="str">
        <f t="shared" si="9"/>
        <v>OK</v>
      </c>
      <c r="V21" s="544" t="str">
        <f t="shared" si="9"/>
        <v>OK</v>
      </c>
      <c r="W21" s="544" t="str">
        <f t="shared" si="9"/>
        <v>OK</v>
      </c>
      <c r="X21" s="544" t="str">
        <f t="shared" si="9"/>
        <v>OK</v>
      </c>
      <c r="Y21" s="545" t="str">
        <f t="shared" si="9"/>
        <v>OK</v>
      </c>
      <c r="Z21" s="492"/>
    </row>
    <row r="22" spans="1:26" x14ac:dyDescent="0.25">
      <c r="A22" s="490"/>
      <c r="B22" s="521" t="s">
        <v>71</v>
      </c>
      <c r="C22" s="530">
        <f>+'eTool Data'!F13</f>
        <v>330</v>
      </c>
      <c r="D22" s="493"/>
      <c r="E22" s="546" t="s">
        <v>72</v>
      </c>
      <c r="F22" s="530">
        <f t="shared" ref="F22:Y22" si="10">+F17-F18</f>
        <v>171649</v>
      </c>
      <c r="G22" s="530">
        <f t="shared" si="10"/>
        <v>179078</v>
      </c>
      <c r="H22" s="530">
        <f t="shared" si="10"/>
        <v>125211</v>
      </c>
      <c r="I22" s="530">
        <f t="shared" si="10"/>
        <v>98999</v>
      </c>
      <c r="J22" s="530">
        <f t="shared" si="10"/>
        <v>70088</v>
      </c>
      <c r="K22" s="530">
        <f t="shared" si="10"/>
        <v>43888</v>
      </c>
      <c r="L22" s="530">
        <f t="shared" si="10"/>
        <v>46201</v>
      </c>
      <c r="M22" s="530">
        <f t="shared" si="10"/>
        <v>25129</v>
      </c>
      <c r="N22" s="530">
        <f t="shared" si="10"/>
        <v>18170</v>
      </c>
      <c r="O22" s="530">
        <f t="shared" si="10"/>
        <v>11567</v>
      </c>
      <c r="P22" s="530">
        <f t="shared" si="10"/>
        <v>-98116</v>
      </c>
      <c r="Q22" s="530">
        <f t="shared" si="10"/>
        <v>-203396</v>
      </c>
      <c r="R22" s="530">
        <f t="shared" si="10"/>
        <v>-235439</v>
      </c>
      <c r="S22" s="530">
        <f t="shared" si="10"/>
        <v>-280860</v>
      </c>
      <c r="T22" s="530">
        <f t="shared" si="10"/>
        <v>-374062</v>
      </c>
      <c r="U22" s="530">
        <f t="shared" si="10"/>
        <v>-362591</v>
      </c>
      <c r="V22" s="530">
        <f t="shared" si="10"/>
        <v>-336760</v>
      </c>
      <c r="W22" s="530">
        <f t="shared" si="10"/>
        <v>-354239</v>
      </c>
      <c r="X22" s="530">
        <f t="shared" si="10"/>
        <v>-364233</v>
      </c>
      <c r="Y22" s="530">
        <f t="shared" si="10"/>
        <v>-633306</v>
      </c>
      <c r="Z22" s="492"/>
    </row>
    <row r="23" spans="1:26" ht="15.75" thickBot="1" x14ac:dyDescent="0.3">
      <c r="A23" s="490"/>
      <c r="B23" s="527" t="s">
        <v>73</v>
      </c>
      <c r="C23" s="547">
        <f>+C21/C22</f>
        <v>60</v>
      </c>
      <c r="D23" s="493"/>
      <c r="E23" s="548" t="s">
        <v>74</v>
      </c>
      <c r="F23" s="549" t="str">
        <f>+IF(F17&gt;0,"OK","Not OK")</f>
        <v>OK</v>
      </c>
      <c r="G23" s="549" t="str">
        <f>+IF(G17&gt;0,"OK","Not OK")</f>
        <v>OK</v>
      </c>
      <c r="H23" s="550" t="str">
        <f t="shared" ref="H23:Y23" si="11">+IF(H22&gt;0,"OK","Not OK")</f>
        <v>OK</v>
      </c>
      <c r="I23" s="550" t="str">
        <f t="shared" si="11"/>
        <v>OK</v>
      </c>
      <c r="J23" s="550" t="str">
        <f t="shared" si="11"/>
        <v>OK</v>
      </c>
      <c r="K23" s="550" t="str">
        <f t="shared" si="11"/>
        <v>OK</v>
      </c>
      <c r="L23" s="550" t="str">
        <f t="shared" si="11"/>
        <v>OK</v>
      </c>
      <c r="M23" s="550" t="str">
        <f t="shared" si="11"/>
        <v>OK</v>
      </c>
      <c r="N23" s="550" t="str">
        <f t="shared" si="11"/>
        <v>OK</v>
      </c>
      <c r="O23" s="550" t="str">
        <f t="shared" si="11"/>
        <v>OK</v>
      </c>
      <c r="P23" s="550" t="str">
        <f t="shared" si="11"/>
        <v>Not OK</v>
      </c>
      <c r="Q23" s="550" t="str">
        <f t="shared" si="11"/>
        <v>Not OK</v>
      </c>
      <c r="R23" s="550" t="str">
        <f t="shared" si="11"/>
        <v>Not OK</v>
      </c>
      <c r="S23" s="550" t="str">
        <f t="shared" si="11"/>
        <v>Not OK</v>
      </c>
      <c r="T23" s="550" t="str">
        <f t="shared" si="11"/>
        <v>Not OK</v>
      </c>
      <c r="U23" s="550" t="str">
        <f t="shared" si="11"/>
        <v>Not OK</v>
      </c>
      <c r="V23" s="550" t="str">
        <f t="shared" si="11"/>
        <v>Not OK</v>
      </c>
      <c r="W23" s="550" t="str">
        <f t="shared" si="11"/>
        <v>Not OK</v>
      </c>
      <c r="X23" s="550" t="str">
        <f t="shared" si="11"/>
        <v>Not OK</v>
      </c>
      <c r="Y23" s="550" t="str">
        <f t="shared" si="11"/>
        <v>Not OK</v>
      </c>
      <c r="Z23" s="492"/>
    </row>
    <row r="24" spans="1:26" x14ac:dyDescent="0.25">
      <c r="A24" s="490"/>
      <c r="B24" s="551"/>
      <c r="C24" s="552"/>
      <c r="D24" s="493"/>
      <c r="E24" s="551" t="s">
        <v>75</v>
      </c>
      <c r="F24" s="544">
        <f t="shared" ref="F24:Y24" si="12">-F19</f>
        <v>-171649</v>
      </c>
      <c r="G24" s="544">
        <f t="shared" si="12"/>
        <v>-179078</v>
      </c>
      <c r="H24" s="544">
        <f t="shared" si="12"/>
        <v>-125211</v>
      </c>
      <c r="I24" s="544">
        <f t="shared" si="12"/>
        <v>-98999</v>
      </c>
      <c r="J24" s="544">
        <f t="shared" si="12"/>
        <v>-70088</v>
      </c>
      <c r="K24" s="544">
        <f t="shared" si="12"/>
        <v>-43888</v>
      </c>
      <c r="L24" s="544">
        <f t="shared" si="12"/>
        <v>-46201</v>
      </c>
      <c r="M24" s="544">
        <f t="shared" si="12"/>
        <v>-25129</v>
      </c>
      <c r="N24" s="544">
        <f t="shared" si="12"/>
        <v>-18170</v>
      </c>
      <c r="O24" s="544">
        <f t="shared" si="12"/>
        <v>-11567</v>
      </c>
      <c r="P24" s="544">
        <f t="shared" si="12"/>
        <v>98116</v>
      </c>
      <c r="Q24" s="544">
        <f t="shared" si="12"/>
        <v>203396</v>
      </c>
      <c r="R24" s="544">
        <f t="shared" si="12"/>
        <v>235439</v>
      </c>
      <c r="S24" s="544">
        <f t="shared" si="12"/>
        <v>280860</v>
      </c>
      <c r="T24" s="544">
        <f t="shared" si="12"/>
        <v>374062</v>
      </c>
      <c r="U24" s="544">
        <f t="shared" si="12"/>
        <v>362591</v>
      </c>
      <c r="V24" s="544">
        <f t="shared" si="12"/>
        <v>336760</v>
      </c>
      <c r="W24" s="544">
        <f t="shared" si="12"/>
        <v>354239</v>
      </c>
      <c r="X24" s="544">
        <f t="shared" si="12"/>
        <v>364233</v>
      </c>
      <c r="Y24" s="544">
        <f t="shared" si="12"/>
        <v>633306</v>
      </c>
      <c r="Z24" s="492"/>
    </row>
    <row r="25" spans="1:26" ht="15.75" thickBot="1" x14ac:dyDescent="0.3">
      <c r="A25" s="490"/>
      <c r="B25" s="535"/>
      <c r="C25" s="535"/>
      <c r="D25" s="535"/>
      <c r="E25" s="551" t="s">
        <v>76</v>
      </c>
      <c r="F25" s="553">
        <f t="shared" ref="F25:Y25" si="13">+F24/F14</f>
        <v>-0.94500286386079968</v>
      </c>
      <c r="G25" s="553">
        <f t="shared" si="13"/>
        <v>-0.48458385986216429</v>
      </c>
      <c r="H25" s="553">
        <f t="shared" si="13"/>
        <v>-0.22202459364335869</v>
      </c>
      <c r="I25" s="553">
        <f t="shared" si="13"/>
        <v>-0.12939935857284063</v>
      </c>
      <c r="J25" s="553">
        <f t="shared" si="13"/>
        <v>-7.2023586327967196E-2</v>
      </c>
      <c r="K25" s="553">
        <f t="shared" si="13"/>
        <v>-3.6931226749002927E-2</v>
      </c>
      <c r="L25" s="553">
        <f t="shared" si="13"/>
        <v>-3.2742287083308688E-2</v>
      </c>
      <c r="M25" s="553">
        <f t="shared" si="13"/>
        <v>-1.5309315635461866E-2</v>
      </c>
      <c r="N25" s="553">
        <f t="shared" si="13"/>
        <v>-9.6662114701519704E-3</v>
      </c>
      <c r="O25" s="553">
        <f t="shared" si="13"/>
        <v>-5.4399687123950465E-3</v>
      </c>
      <c r="P25" s="553">
        <f t="shared" si="13"/>
        <v>4.1201509610710334E-2</v>
      </c>
      <c r="Q25" s="553">
        <f t="shared" si="13"/>
        <v>7.6891091349673424E-2</v>
      </c>
      <c r="R25" s="553">
        <f t="shared" si="13"/>
        <v>8.0678427543139891E-2</v>
      </c>
      <c r="S25" s="553">
        <f t="shared" si="13"/>
        <v>8.7750666354440329E-2</v>
      </c>
      <c r="T25" s="553">
        <f t="shared" si="13"/>
        <v>0.10709417332032091</v>
      </c>
      <c r="U25" s="553">
        <f t="shared" si="13"/>
        <v>9.5541995516520484E-2</v>
      </c>
      <c r="V25" s="553">
        <f t="shared" si="13"/>
        <v>8.1980676911910619E-2</v>
      </c>
      <c r="W25" s="553">
        <f t="shared" si="13"/>
        <v>7.9940232324971841E-2</v>
      </c>
      <c r="X25" s="553">
        <f t="shared" si="13"/>
        <v>7.642367091975516E-2</v>
      </c>
      <c r="Y25" s="553">
        <f t="shared" si="13"/>
        <v>0.12388125997643816</v>
      </c>
      <c r="Z25" s="492"/>
    </row>
    <row r="26" spans="1:26" x14ac:dyDescent="0.25">
      <c r="A26" s="500" t="s">
        <v>77</v>
      </c>
      <c r="B26" s="501"/>
      <c r="C26" s="502"/>
      <c r="D26" s="503"/>
      <c r="E26" s="554" t="str">
        <f>+'eTool Data'!E10</f>
        <v>Interest Rate on Balance</v>
      </c>
      <c r="F26" s="501"/>
      <c r="G26" s="501"/>
      <c r="H26" s="501"/>
      <c r="I26" s="501"/>
      <c r="J26" s="501"/>
      <c r="K26" s="501"/>
      <c r="L26" s="501"/>
      <c r="M26" s="501"/>
      <c r="N26" s="501"/>
      <c r="O26" s="501"/>
      <c r="P26" s="501"/>
      <c r="Q26" s="501"/>
      <c r="R26" s="501"/>
      <c r="S26" s="501"/>
      <c r="T26" s="501"/>
      <c r="U26" s="501"/>
      <c r="V26" s="501"/>
      <c r="W26" s="501"/>
      <c r="X26" s="501"/>
      <c r="Y26" s="503"/>
      <c r="Z26" s="492"/>
    </row>
    <row r="27" spans="1:26" ht="15.75" thickBot="1" x14ac:dyDescent="0.3">
      <c r="A27" s="507" t="s">
        <v>78</v>
      </c>
      <c r="B27" s="508"/>
      <c r="C27" s="508"/>
      <c r="D27" s="509"/>
      <c r="E27" s="555" t="s">
        <v>79</v>
      </c>
      <c r="F27" s="556">
        <f>+'eTool Data'!F10</f>
        <v>0.01</v>
      </c>
      <c r="H27" s="557"/>
      <c r="I27" s="557"/>
      <c r="J27" s="557"/>
      <c r="K27" s="557"/>
      <c r="L27" s="557"/>
      <c r="M27" s="557"/>
      <c r="N27" s="557"/>
      <c r="O27" s="557"/>
      <c r="P27" s="557"/>
      <c r="Q27" s="557"/>
      <c r="R27" s="557"/>
      <c r="S27" s="557"/>
      <c r="T27" s="557"/>
      <c r="U27" s="557"/>
      <c r="V27" s="557"/>
      <c r="W27" s="557"/>
      <c r="X27" s="557"/>
      <c r="Y27" s="558"/>
      <c r="Z27" s="492"/>
    </row>
    <row r="28" spans="1:26" x14ac:dyDescent="0.25">
      <c r="A28" s="490"/>
      <c r="B28" s="535"/>
      <c r="C28" s="535"/>
      <c r="D28" s="493"/>
      <c r="E28" s="559" t="s">
        <v>80</v>
      </c>
      <c r="F28" s="560">
        <f ca="1">+IF(AVERAGE('eTool Data'!F10:Y10)='eTool Data'!F10,1,OFFSET(F9,0,MATCH("Change",G28:Y28))/12+1)</f>
        <v>3</v>
      </c>
      <c r="G28" s="561" t="str">
        <f>+IF('eTool Data'!G10&lt;&gt;'eTool Data'!F10,"Change","No Change")</f>
        <v>No Change</v>
      </c>
      <c r="H28" s="561" t="str">
        <f>+IF('eTool Data'!H10&lt;&gt;'eTool Data'!G10,"Change","No Change")</f>
        <v>Change</v>
      </c>
      <c r="I28" s="561" t="str">
        <f>+IF('eTool Data'!I10&lt;&gt;'eTool Data'!H10,"Change","No Change")</f>
        <v>No Change</v>
      </c>
      <c r="J28" s="561" t="str">
        <f>+IF('eTool Data'!J10&lt;&gt;'eTool Data'!I10,"Change","No Change")</f>
        <v>No Change</v>
      </c>
      <c r="K28" s="561" t="str">
        <f>+IF('eTool Data'!K10&lt;&gt;'eTool Data'!J10,"Change","No Change")</f>
        <v>No Change</v>
      </c>
      <c r="L28" s="561" t="str">
        <f>+IF('eTool Data'!L10&lt;&gt;'eTool Data'!K10,"Change","No Change")</f>
        <v>No Change</v>
      </c>
      <c r="M28" s="561" t="str">
        <f>+IF('eTool Data'!M10&lt;&gt;'eTool Data'!L10,"Change","No Change")</f>
        <v>No Change</v>
      </c>
      <c r="N28" s="561" t="str">
        <f>+IF('eTool Data'!N10&lt;&gt;'eTool Data'!M10,"Change","No Change")</f>
        <v>No Change</v>
      </c>
      <c r="O28" s="561" t="str">
        <f>+IF('eTool Data'!O10&lt;&gt;'eTool Data'!N10,"Change","No Change")</f>
        <v>No Change</v>
      </c>
      <c r="P28" s="561" t="str">
        <f>+IF('eTool Data'!P10&lt;&gt;'eTool Data'!O10,"Change","No Change")</f>
        <v>No Change</v>
      </c>
      <c r="Q28" s="561" t="str">
        <f>+IF('eTool Data'!Q10&lt;&gt;'eTool Data'!P10,"Change","No Change")</f>
        <v>No Change</v>
      </c>
      <c r="R28" s="561" t="str">
        <f>+IF('eTool Data'!R10&lt;&gt;'eTool Data'!Q10,"Change","No Change")</f>
        <v>No Change</v>
      </c>
      <c r="S28" s="561" t="str">
        <f>+IF('eTool Data'!S10&lt;&gt;'eTool Data'!R10,"Change","No Change")</f>
        <v>No Change</v>
      </c>
      <c r="T28" s="561" t="str">
        <f>+IF('eTool Data'!T10&lt;&gt;'eTool Data'!S10,"Change","No Change")</f>
        <v>No Change</v>
      </c>
      <c r="U28" s="561" t="str">
        <f>+IF('eTool Data'!U10&lt;&gt;'eTool Data'!T10,"Change","No Change")</f>
        <v>No Change</v>
      </c>
      <c r="V28" s="561" t="str">
        <f>+IF('eTool Data'!V10&lt;&gt;'eTool Data'!U10,"Change","No Change")</f>
        <v>No Change</v>
      </c>
      <c r="W28" s="561" t="str">
        <f>+IF('eTool Data'!W10&lt;&gt;'eTool Data'!V10,"Change","No Change")</f>
        <v>No Change</v>
      </c>
      <c r="X28" s="561" t="str">
        <f>+IF('eTool Data'!X10&lt;&gt;'eTool Data'!W10,"Change","No Change")</f>
        <v>No Change</v>
      </c>
      <c r="Y28" s="562" t="str">
        <f>+IF('eTool Data'!Y10&lt;&gt;'eTool Data'!X10,"Change","No Change")</f>
        <v>No Change</v>
      </c>
      <c r="Z28" s="492"/>
    </row>
    <row r="29" spans="1:26" x14ac:dyDescent="0.25">
      <c r="A29" s="490"/>
      <c r="B29" s="535"/>
      <c r="C29" s="535"/>
      <c r="D29" s="493"/>
      <c r="E29" s="559" t="s">
        <v>81</v>
      </c>
      <c r="F29" s="563">
        <f ca="1">IF(AVERAGE('eTool Data'!F10:Y10)='eTool Data'!F10,'eTool Data'!F10,OFFSET('eTool Data'!F10,0,MATCH("Change",G28:Y28)+1))</f>
        <v>1.4999999999999999E-2</v>
      </c>
      <c r="G29" s="489" t="s">
        <v>82</v>
      </c>
      <c r="H29" s="564"/>
      <c r="I29" s="564"/>
      <c r="J29" s="564"/>
      <c r="K29" s="564"/>
      <c r="L29" s="564"/>
      <c r="M29" s="564"/>
      <c r="N29" s="564"/>
      <c r="O29" s="564"/>
      <c r="P29" s="564"/>
      <c r="Q29" s="564"/>
      <c r="R29" s="564"/>
      <c r="S29" s="564"/>
      <c r="T29" s="564"/>
      <c r="U29" s="564"/>
      <c r="V29" s="564"/>
      <c r="W29" s="564"/>
      <c r="X29" s="564"/>
      <c r="Y29" s="565"/>
      <c r="Z29" s="492"/>
    </row>
    <row r="30" spans="1:26" x14ac:dyDescent="0.25">
      <c r="A30" s="490"/>
      <c r="B30" s="535"/>
      <c r="C30" s="535"/>
      <c r="D30" s="493"/>
      <c r="E30" s="566"/>
      <c r="F30" s="557"/>
      <c r="G30" s="489" t="s">
        <v>83</v>
      </c>
      <c r="H30" s="557"/>
      <c r="I30" s="557"/>
      <c r="J30" s="557"/>
      <c r="K30" s="557"/>
      <c r="L30" s="557"/>
      <c r="M30" s="557"/>
      <c r="N30" s="557"/>
      <c r="O30" s="557"/>
      <c r="P30" s="557"/>
      <c r="Q30" s="557"/>
      <c r="R30" s="557"/>
      <c r="S30" s="557"/>
      <c r="T30" s="557"/>
      <c r="U30" s="557"/>
      <c r="V30" s="557"/>
      <c r="W30" s="557"/>
      <c r="X30" s="557"/>
      <c r="Y30" s="558"/>
      <c r="Z30" s="492"/>
    </row>
    <row r="31" spans="1:26" x14ac:dyDescent="0.25">
      <c r="A31" s="490"/>
      <c r="B31" s="535"/>
      <c r="C31" s="535"/>
      <c r="D31" s="493"/>
      <c r="E31" s="567" t="s">
        <v>84</v>
      </c>
      <c r="F31" s="557"/>
      <c r="G31" s="557"/>
      <c r="H31" s="557"/>
      <c r="I31" s="557"/>
      <c r="J31" s="557"/>
      <c r="K31" s="557"/>
      <c r="L31" s="557"/>
      <c r="M31" s="557"/>
      <c r="N31" s="557"/>
      <c r="O31" s="557"/>
      <c r="P31" s="557"/>
      <c r="Q31" s="557"/>
      <c r="R31" s="557"/>
      <c r="S31" s="557"/>
      <c r="T31" s="557"/>
      <c r="U31" s="557"/>
      <c r="V31" s="557"/>
      <c r="W31" s="557"/>
      <c r="X31" s="557"/>
      <c r="Y31" s="558"/>
      <c r="Z31" s="492"/>
    </row>
    <row r="32" spans="1:26" x14ac:dyDescent="0.25">
      <c r="A32" s="490"/>
      <c r="B32" s="535"/>
      <c r="C32" s="535"/>
      <c r="D32" s="493"/>
      <c r="E32" s="555" t="s">
        <v>85</v>
      </c>
      <c r="G32" s="556">
        <f>+'eTool Data'!G11</f>
        <v>0.02</v>
      </c>
      <c r="H32" s="557"/>
      <c r="I32" s="557"/>
      <c r="J32" s="557"/>
      <c r="K32" s="557"/>
      <c r="L32" s="557"/>
      <c r="M32" s="557"/>
      <c r="N32" s="557"/>
      <c r="O32" s="557"/>
      <c r="P32" s="557"/>
      <c r="Q32" s="557"/>
      <c r="R32" s="557"/>
      <c r="S32" s="557"/>
      <c r="T32" s="557"/>
      <c r="U32" s="557"/>
      <c r="V32" s="557"/>
      <c r="W32" s="557"/>
      <c r="X32" s="557"/>
      <c r="Y32" s="558"/>
      <c r="Z32" s="492"/>
    </row>
    <row r="33" spans="1:26" x14ac:dyDescent="0.25">
      <c r="A33" s="490"/>
      <c r="B33" s="493"/>
      <c r="C33" s="493"/>
      <c r="D33" s="493"/>
      <c r="E33" s="568" t="s">
        <v>80</v>
      </c>
      <c r="F33" s="560">
        <f ca="1">+IF(AVERAGE('eTool Data'!G11:Y11)='eTool Data'!G11,1,OFFSET(F9,0,MATCH("Change",G33:Y33))/12+1)</f>
        <v>1</v>
      </c>
      <c r="G33" s="561" t="s">
        <v>86</v>
      </c>
      <c r="H33" s="561" t="str">
        <f>+IF('eTool Data'!H11&lt;&gt;'eTool Data'!G11,"Change","No Change")</f>
        <v>No Change</v>
      </c>
      <c r="I33" s="561" t="str">
        <f>+IF('eTool Data'!I11&lt;&gt;'eTool Data'!H11,"Change","No Change")</f>
        <v>No Change</v>
      </c>
      <c r="J33" s="561" t="str">
        <f>+IF('eTool Data'!J11&lt;&gt;'eTool Data'!I11,"Change","No Change")</f>
        <v>No Change</v>
      </c>
      <c r="K33" s="561" t="str">
        <f>+IF('eTool Data'!K11&lt;&gt;'eTool Data'!J11,"Change","No Change")</f>
        <v>No Change</v>
      </c>
      <c r="L33" s="561" t="str">
        <f>+IF('eTool Data'!L11&lt;&gt;'eTool Data'!K11,"Change","No Change")</f>
        <v>No Change</v>
      </c>
      <c r="M33" s="561" t="str">
        <f>+IF('eTool Data'!M11&lt;&gt;'eTool Data'!L11,"Change","No Change")</f>
        <v>No Change</v>
      </c>
      <c r="N33" s="561" t="str">
        <f>+IF('eTool Data'!N11&lt;&gt;'eTool Data'!M11,"Change","No Change")</f>
        <v>No Change</v>
      </c>
      <c r="O33" s="561" t="str">
        <f>+IF('eTool Data'!O11&lt;&gt;'eTool Data'!N11,"Change","No Change")</f>
        <v>No Change</v>
      </c>
      <c r="P33" s="561" t="str">
        <f>+IF('eTool Data'!P11&lt;&gt;'eTool Data'!O11,"Change","No Change")</f>
        <v>No Change</v>
      </c>
      <c r="Q33" s="561" t="str">
        <f>+IF('eTool Data'!Q11&lt;&gt;'eTool Data'!P11,"Change","No Change")</f>
        <v>No Change</v>
      </c>
      <c r="R33" s="561" t="str">
        <f>+IF('eTool Data'!R11&lt;&gt;'eTool Data'!Q11,"Change","No Change")</f>
        <v>No Change</v>
      </c>
      <c r="S33" s="561" t="str">
        <f>+IF('eTool Data'!S11&lt;&gt;'eTool Data'!R11,"Change","No Change")</f>
        <v>No Change</v>
      </c>
      <c r="T33" s="561" t="str">
        <f>+IF('eTool Data'!T11&lt;&gt;'eTool Data'!S11,"Change","No Change")</f>
        <v>No Change</v>
      </c>
      <c r="U33" s="561" t="str">
        <f>+IF('eTool Data'!U11&lt;&gt;'eTool Data'!T11,"Change","No Change")</f>
        <v>No Change</v>
      </c>
      <c r="V33" s="561" t="str">
        <f>+IF('eTool Data'!V11&lt;&gt;'eTool Data'!U11,"Change","No Change")</f>
        <v>No Change</v>
      </c>
      <c r="W33" s="561" t="str">
        <f>+IF('eTool Data'!W11&lt;&gt;'eTool Data'!V11,"Change","No Change")</f>
        <v>No Change</v>
      </c>
      <c r="X33" s="561" t="str">
        <f>+IF('eTool Data'!X11&lt;&gt;'eTool Data'!W11,"Change","No Change")</f>
        <v>No Change</v>
      </c>
      <c r="Y33" s="562" t="str">
        <f>+IF('eTool Data'!Y11&lt;&gt;'eTool Data'!X11,"Change","No Change")</f>
        <v>No Change</v>
      </c>
      <c r="Z33" s="492"/>
    </row>
    <row r="34" spans="1:26" ht="15.75" thickBot="1" x14ac:dyDescent="0.3">
      <c r="A34" s="490"/>
      <c r="B34" s="493"/>
      <c r="C34" s="493"/>
      <c r="D34" s="493"/>
      <c r="E34" s="569" t="s">
        <v>87</v>
      </c>
      <c r="F34" s="570">
        <f ca="1">+IF(AVERAGE('eTool Data'!G11:Y11)='eTool Data'!G11,'eTool Data'!G11,OFFSET('eTool Data'!F11,0,MATCH("Change",G33:Y33)+1))</f>
        <v>0.02</v>
      </c>
      <c r="G34" s="489" t="s">
        <v>88</v>
      </c>
      <c r="H34" s="564"/>
      <c r="I34" s="564"/>
      <c r="J34" s="564"/>
      <c r="K34" s="564"/>
      <c r="L34" s="564"/>
      <c r="M34" s="564"/>
      <c r="N34" s="564"/>
      <c r="O34" s="564"/>
      <c r="P34" s="564"/>
      <c r="Q34" s="564"/>
      <c r="R34" s="564"/>
      <c r="S34" s="564"/>
      <c r="T34" s="564"/>
      <c r="U34" s="564"/>
      <c r="V34" s="564"/>
      <c r="W34" s="564"/>
      <c r="X34" s="564"/>
      <c r="Y34" s="565"/>
      <c r="Z34" s="492"/>
    </row>
    <row r="35" spans="1:26" ht="15.75" thickBot="1" x14ac:dyDescent="0.3">
      <c r="A35" s="490"/>
      <c r="B35" s="493"/>
      <c r="C35" s="493"/>
      <c r="D35" s="493"/>
      <c r="E35" s="571"/>
      <c r="F35" s="572"/>
      <c r="G35" s="573" t="s">
        <v>83</v>
      </c>
      <c r="H35" s="574"/>
      <c r="I35" s="574"/>
      <c r="J35" s="574"/>
      <c r="K35" s="574"/>
      <c r="L35" s="574"/>
      <c r="M35" s="574"/>
      <c r="N35" s="574"/>
      <c r="O35" s="574"/>
      <c r="P35" s="574"/>
      <c r="Q35" s="574"/>
      <c r="R35" s="574"/>
      <c r="S35" s="574"/>
      <c r="T35" s="574"/>
      <c r="U35" s="574"/>
      <c r="V35" s="574"/>
      <c r="W35" s="574"/>
      <c r="X35" s="574"/>
      <c r="Y35" s="509"/>
      <c r="Z35" s="492"/>
    </row>
    <row r="36" spans="1:26" ht="15.75" thickBot="1" x14ac:dyDescent="0.3">
      <c r="A36" s="490"/>
      <c r="B36" s="493"/>
      <c r="C36" s="493"/>
      <c r="D36" s="493"/>
      <c r="E36" s="493"/>
      <c r="F36" s="493"/>
      <c r="G36" s="493"/>
      <c r="H36" s="493"/>
      <c r="I36" s="493"/>
      <c r="J36" s="493"/>
      <c r="K36" s="493"/>
      <c r="L36" s="493"/>
      <c r="M36" s="493"/>
      <c r="N36" s="493"/>
      <c r="O36" s="493"/>
      <c r="P36" s="493"/>
      <c r="Q36" s="493"/>
      <c r="R36" s="493"/>
      <c r="S36" s="493"/>
      <c r="T36" s="493"/>
      <c r="U36" s="493"/>
      <c r="V36" s="493"/>
      <c r="W36" s="493"/>
      <c r="X36" s="493"/>
      <c r="Y36" s="493"/>
      <c r="Z36" s="492"/>
    </row>
    <row r="37" spans="1:26" x14ac:dyDescent="0.25">
      <c r="A37" s="490"/>
      <c r="B37" s="493"/>
      <c r="C37" s="1138" t="s">
        <v>89</v>
      </c>
      <c r="D37" s="1139"/>
      <c r="E37" s="575" t="str">
        <f>+'eTool Data'!E12</f>
        <v>Inflation Rate on Capital Needs</v>
      </c>
      <c r="F37" s="501"/>
      <c r="G37" s="501"/>
      <c r="H37" s="501"/>
      <c r="I37" s="501"/>
      <c r="J37" s="501"/>
      <c r="K37" s="501"/>
      <c r="L37" s="501"/>
      <c r="M37" s="501"/>
      <c r="N37" s="501"/>
      <c r="O37" s="501"/>
      <c r="P37" s="501"/>
      <c r="Q37" s="501"/>
      <c r="R37" s="501"/>
      <c r="S37" s="501"/>
      <c r="T37" s="501"/>
      <c r="U37" s="501"/>
      <c r="V37" s="501"/>
      <c r="W37" s="501"/>
      <c r="X37" s="501"/>
      <c r="Y37" s="503"/>
      <c r="Z37" s="492"/>
    </row>
    <row r="38" spans="1:26" x14ac:dyDescent="0.25">
      <c r="A38" s="490"/>
      <c r="B38" s="493"/>
      <c r="C38" s="1138"/>
      <c r="D38" s="1139"/>
      <c r="E38" s="555" t="s">
        <v>90</v>
      </c>
      <c r="G38" s="556">
        <f>+'eTool Data'!G12</f>
        <v>0.02</v>
      </c>
      <c r="H38" s="557"/>
      <c r="I38" s="557"/>
      <c r="J38" s="557"/>
      <c r="K38" s="557"/>
      <c r="L38" s="557"/>
      <c r="M38" s="557"/>
      <c r="N38" s="557"/>
      <c r="O38" s="557"/>
      <c r="P38" s="557"/>
      <c r="Q38" s="557"/>
      <c r="R38" s="557"/>
      <c r="S38" s="557"/>
      <c r="T38" s="557"/>
      <c r="U38" s="557"/>
      <c r="V38" s="557"/>
      <c r="W38" s="557"/>
      <c r="X38" s="557"/>
      <c r="Y38" s="558"/>
      <c r="Z38" s="492"/>
    </row>
    <row r="39" spans="1:26" x14ac:dyDescent="0.25">
      <c r="A39" s="490"/>
      <c r="B39" s="493"/>
      <c r="C39" s="1138"/>
      <c r="D39" s="1139"/>
      <c r="E39" s="568" t="s">
        <v>80</v>
      </c>
      <c r="F39" s="560">
        <f ca="1">+IF(AVERAGE('eTool Data'!G12:Y12)='eTool Data'!G12,1,OFFSET(F15,0,MATCH("Change",G39:Y39))/12+1)</f>
        <v>1</v>
      </c>
      <c r="G39" s="561" t="s">
        <v>86</v>
      </c>
      <c r="H39" s="561" t="str">
        <f>+IF('eTool Data'!H12&lt;&gt;'eTool Data'!G12,"Change","No Change")</f>
        <v>No Change</v>
      </c>
      <c r="I39" s="561" t="str">
        <f>+IF('eTool Data'!I12&lt;&gt;'eTool Data'!H12,"Change","No Change")</f>
        <v>No Change</v>
      </c>
      <c r="J39" s="561" t="str">
        <f>+IF('eTool Data'!J12&lt;&gt;'eTool Data'!I12,"Change","No Change")</f>
        <v>No Change</v>
      </c>
      <c r="K39" s="561" t="str">
        <f>+IF('eTool Data'!K12&lt;&gt;'eTool Data'!J12,"Change","No Change")</f>
        <v>No Change</v>
      </c>
      <c r="L39" s="561" t="str">
        <f>+IF('eTool Data'!L12&lt;&gt;'eTool Data'!K12,"Change","No Change")</f>
        <v>No Change</v>
      </c>
      <c r="M39" s="561" t="str">
        <f>+IF('eTool Data'!M12&lt;&gt;'eTool Data'!L12,"Change","No Change")</f>
        <v>No Change</v>
      </c>
      <c r="N39" s="561" t="str">
        <f>+IF('eTool Data'!N12&lt;&gt;'eTool Data'!M12,"Change","No Change")</f>
        <v>No Change</v>
      </c>
      <c r="O39" s="561" t="str">
        <f>+IF('eTool Data'!O12&lt;&gt;'eTool Data'!N12,"Change","No Change")</f>
        <v>No Change</v>
      </c>
      <c r="P39" s="561" t="str">
        <f>+IF('eTool Data'!P12&lt;&gt;'eTool Data'!O12,"Change","No Change")</f>
        <v>No Change</v>
      </c>
      <c r="Q39" s="561" t="str">
        <f>+IF('eTool Data'!Q12&lt;&gt;'eTool Data'!P12,"Change","No Change")</f>
        <v>No Change</v>
      </c>
      <c r="R39" s="561" t="str">
        <f>+IF('eTool Data'!R12&lt;&gt;'eTool Data'!Q12,"Change","No Change")</f>
        <v>No Change</v>
      </c>
      <c r="S39" s="561" t="str">
        <f>+IF('eTool Data'!S12&lt;&gt;'eTool Data'!R12,"Change","No Change")</f>
        <v>No Change</v>
      </c>
      <c r="T39" s="561" t="str">
        <f>+IF('eTool Data'!T12&lt;&gt;'eTool Data'!S12,"Change","No Change")</f>
        <v>No Change</v>
      </c>
      <c r="U39" s="561" t="str">
        <f>+IF('eTool Data'!U12&lt;&gt;'eTool Data'!T12,"Change","No Change")</f>
        <v>No Change</v>
      </c>
      <c r="V39" s="561" t="str">
        <f>+IF('eTool Data'!V12&lt;&gt;'eTool Data'!U12,"Change","No Change")</f>
        <v>No Change</v>
      </c>
      <c r="W39" s="561" t="str">
        <f>+IF('eTool Data'!W12&lt;&gt;'eTool Data'!V12,"Change","No Change")</f>
        <v>No Change</v>
      </c>
      <c r="X39" s="561" t="str">
        <f>+IF('eTool Data'!X12&lt;&gt;'eTool Data'!W12,"Change","No Change")</f>
        <v>No Change</v>
      </c>
      <c r="Y39" s="562" t="str">
        <f>+IF('eTool Data'!Y12&lt;&gt;'eTool Data'!X12,"Change","No Change")</f>
        <v>No Change</v>
      </c>
      <c r="Z39" s="492"/>
    </row>
    <row r="40" spans="1:26" ht="15.75" thickBot="1" x14ac:dyDescent="0.3">
      <c r="A40" s="490"/>
      <c r="B40" s="493"/>
      <c r="C40" s="1138"/>
      <c r="D40" s="1139"/>
      <c r="E40" s="569" t="s">
        <v>81</v>
      </c>
      <c r="F40" s="570">
        <f ca="1">+IF(AVERAGE('eTool Data'!G12:Y12)='eTool Data'!G12,'eTool Data'!G12,OFFSET('eTool Data'!F12,0,MATCH("Change",G39:Y39)+1))</f>
        <v>0.02</v>
      </c>
      <c r="G40" s="489" t="s">
        <v>91</v>
      </c>
      <c r="H40" s="564"/>
      <c r="I40" s="564"/>
      <c r="J40" s="564"/>
      <c r="K40" s="564"/>
      <c r="L40" s="564"/>
      <c r="M40" s="564"/>
      <c r="N40" s="564"/>
      <c r="O40" s="564"/>
      <c r="P40" s="564"/>
      <c r="Q40" s="564"/>
      <c r="R40" s="564"/>
      <c r="S40" s="564"/>
      <c r="T40" s="564"/>
      <c r="U40" s="564"/>
      <c r="V40" s="564"/>
      <c r="W40" s="564"/>
      <c r="X40" s="564"/>
      <c r="Y40" s="565"/>
      <c r="Z40" s="492"/>
    </row>
    <row r="41" spans="1:26" ht="15.75" thickBot="1" x14ac:dyDescent="0.3">
      <c r="A41" s="490"/>
      <c r="B41" s="493"/>
      <c r="C41" s="944"/>
      <c r="D41" s="945"/>
      <c r="E41" s="571"/>
      <c r="F41" s="572"/>
      <c r="G41" s="573" t="s">
        <v>83</v>
      </c>
      <c r="H41" s="574"/>
      <c r="I41" s="574"/>
      <c r="J41" s="574"/>
      <c r="K41" s="574"/>
      <c r="L41" s="574"/>
      <c r="M41" s="574"/>
      <c r="N41" s="574"/>
      <c r="O41" s="574"/>
      <c r="P41" s="574"/>
      <c r="Q41" s="574"/>
      <c r="R41" s="574"/>
      <c r="S41" s="574"/>
      <c r="T41" s="574"/>
      <c r="U41" s="574"/>
      <c r="V41" s="574"/>
      <c r="W41" s="574"/>
      <c r="X41" s="574"/>
      <c r="Y41" s="509"/>
      <c r="Z41" s="492"/>
    </row>
    <row r="42" spans="1:26" ht="15.75" thickBot="1" x14ac:dyDescent="0.3">
      <c r="A42" s="490"/>
      <c r="B42" s="493"/>
      <c r="C42" s="576"/>
      <c r="D42" s="577"/>
      <c r="E42" s="493"/>
      <c r="F42" s="493"/>
      <c r="G42" s="493"/>
      <c r="H42" s="493"/>
      <c r="I42" s="493"/>
      <c r="J42" s="493"/>
      <c r="K42" s="493"/>
      <c r="L42" s="493"/>
      <c r="M42" s="493"/>
      <c r="N42" s="493"/>
      <c r="O42" s="493"/>
      <c r="P42" s="493"/>
      <c r="Q42" s="493"/>
      <c r="R42" s="493"/>
      <c r="S42" s="493"/>
      <c r="T42" s="493"/>
      <c r="U42" s="493"/>
      <c r="V42" s="493"/>
      <c r="W42" s="493"/>
      <c r="X42" s="493"/>
      <c r="Y42" s="493"/>
      <c r="Z42" s="492"/>
    </row>
    <row r="43" spans="1:26" x14ac:dyDescent="0.25">
      <c r="A43" s="578" t="s">
        <v>92</v>
      </c>
      <c r="B43" s="501"/>
      <c r="C43" s="501"/>
      <c r="D43" s="503"/>
      <c r="E43" s="504" t="str">
        <f t="shared" ref="E43:Y43" si="14">+E8</f>
        <v>Year</v>
      </c>
      <c r="F43" s="505" t="str">
        <f t="shared" si="14"/>
        <v>Year 01</v>
      </c>
      <c r="G43" s="505" t="str">
        <f t="shared" si="14"/>
        <v>Year 02</v>
      </c>
      <c r="H43" s="505" t="str">
        <f t="shared" si="14"/>
        <v>Year 03</v>
      </c>
      <c r="I43" s="505" t="str">
        <f t="shared" si="14"/>
        <v>Year 04</v>
      </c>
      <c r="J43" s="505" t="str">
        <f t="shared" si="14"/>
        <v>Year 05</v>
      </c>
      <c r="K43" s="505" t="str">
        <f t="shared" si="14"/>
        <v>Year 06</v>
      </c>
      <c r="L43" s="505" t="str">
        <f t="shared" si="14"/>
        <v>Year 07</v>
      </c>
      <c r="M43" s="505" t="str">
        <f t="shared" si="14"/>
        <v>Year 08</v>
      </c>
      <c r="N43" s="505" t="str">
        <f t="shared" si="14"/>
        <v>Year 09</v>
      </c>
      <c r="O43" s="505" t="str">
        <f t="shared" si="14"/>
        <v>Year 10</v>
      </c>
      <c r="P43" s="505" t="str">
        <f t="shared" si="14"/>
        <v>Year 11</v>
      </c>
      <c r="Q43" s="505" t="str">
        <f t="shared" si="14"/>
        <v>Year 12</v>
      </c>
      <c r="R43" s="505" t="str">
        <f t="shared" si="14"/>
        <v>Year 13</v>
      </c>
      <c r="S43" s="505" t="str">
        <f t="shared" si="14"/>
        <v>Year 14</v>
      </c>
      <c r="T43" s="505" t="str">
        <f t="shared" si="14"/>
        <v>Year 15</v>
      </c>
      <c r="U43" s="505" t="str">
        <f t="shared" si="14"/>
        <v>Year 16</v>
      </c>
      <c r="V43" s="505" t="str">
        <f t="shared" si="14"/>
        <v>Year 17</v>
      </c>
      <c r="W43" s="505" t="str">
        <f t="shared" si="14"/>
        <v>Year 18</v>
      </c>
      <c r="X43" s="505" t="str">
        <f t="shared" si="14"/>
        <v>Year 19</v>
      </c>
      <c r="Y43" s="506" t="str">
        <f t="shared" si="14"/>
        <v>Year 20</v>
      </c>
      <c r="Z43" s="492"/>
    </row>
    <row r="44" spans="1:26" ht="15.75" thickBot="1" x14ac:dyDescent="0.3">
      <c r="A44" s="579" t="s">
        <v>93</v>
      </c>
      <c r="B44" s="574"/>
      <c r="C44" s="574"/>
      <c r="D44" s="509"/>
      <c r="E44" s="523" t="str">
        <f t="shared" ref="E44:Y44" si="15">+E15</f>
        <v>Allowance for RfR deficit offset @50.00%</v>
      </c>
      <c r="F44" s="524">
        <f t="shared" si="15"/>
        <v>90819.301488002762</v>
      </c>
      <c r="G44" s="524">
        <f t="shared" si="15"/>
        <v>184775.03568828851</v>
      </c>
      <c r="H44" s="524">
        <f t="shared" si="15"/>
        <v>281975.51889483072</v>
      </c>
      <c r="I44" s="524">
        <f t="shared" si="15"/>
        <v>382532.80809066817</v>
      </c>
      <c r="J44" s="524">
        <f t="shared" si="15"/>
        <v>486562.83013210911</v>
      </c>
      <c r="K44" s="524">
        <f t="shared" si="15"/>
        <v>594185.51539429836</v>
      </c>
      <c r="L44" s="524">
        <f t="shared" si="15"/>
        <v>705524.93603222165</v>
      </c>
      <c r="M44" s="524">
        <f t="shared" si="15"/>
        <v>820709.44901652634</v>
      </c>
      <c r="N44" s="524">
        <f t="shared" si="15"/>
        <v>939871.84410907235</v>
      </c>
      <c r="O44" s="524">
        <f t="shared" si="15"/>
        <v>1063149.4969487991</v>
      </c>
      <c r="P44" s="524">
        <f t="shared" si="15"/>
        <v>1190684.5274243876</v>
      </c>
      <c r="Q44" s="524">
        <f t="shared" si="15"/>
        <v>1322623.9635163136</v>
      </c>
      <c r="R44" s="524">
        <f t="shared" si="15"/>
        <v>1459119.9107971424</v>
      </c>
      <c r="S44" s="524">
        <f t="shared" si="15"/>
        <v>1600329.7277855258</v>
      </c>
      <c r="T44" s="524">
        <f t="shared" si="15"/>
        <v>1746416.207355991</v>
      </c>
      <c r="U44" s="524">
        <f t="shared" si="15"/>
        <v>1897547.7644137293</v>
      </c>
      <c r="V44" s="524">
        <f t="shared" si="15"/>
        <v>2053898.6300506722</v>
      </c>
      <c r="W44" s="524">
        <f t="shared" si="15"/>
        <v>2215649.0524067585</v>
      </c>
      <c r="X44" s="524">
        <f t="shared" si="15"/>
        <v>2382985.5044678799</v>
      </c>
      <c r="Y44" s="525">
        <f t="shared" si="15"/>
        <v>2556100.8990401491</v>
      </c>
      <c r="Z44" s="492"/>
    </row>
    <row r="45" spans="1:26" x14ac:dyDescent="0.25">
      <c r="A45" s="490"/>
      <c r="B45" s="493"/>
      <c r="C45" s="493"/>
      <c r="D45" s="493"/>
      <c r="E45" s="580"/>
      <c r="F45" s="539"/>
      <c r="G45" s="539"/>
      <c r="H45" s="539"/>
      <c r="I45" s="539"/>
      <c r="J45" s="539"/>
      <c r="K45" s="539"/>
      <c r="L45" s="539"/>
      <c r="M45" s="539"/>
      <c r="N45" s="539"/>
      <c r="O45" s="539"/>
      <c r="P45" s="539"/>
      <c r="Q45" s="539"/>
      <c r="R45" s="539"/>
      <c r="S45" s="539"/>
      <c r="T45" s="539"/>
      <c r="U45" s="539"/>
      <c r="V45" s="539"/>
      <c r="W45" s="539"/>
      <c r="X45" s="539"/>
      <c r="Y45" s="581"/>
      <c r="Z45" s="492"/>
    </row>
    <row r="46" spans="1:26" x14ac:dyDescent="0.25">
      <c r="A46" s="490"/>
      <c r="B46" s="493"/>
      <c r="C46" s="493"/>
      <c r="D46" s="493"/>
      <c r="E46" s="529" t="s">
        <v>94</v>
      </c>
      <c r="F46" s="582">
        <f ca="1">+'Trial Deposits Engine'!H79</f>
        <v>221800</v>
      </c>
      <c r="G46" s="582">
        <f ca="1">+'Trial Deposits Engine'!I79</f>
        <v>230232</v>
      </c>
      <c r="H46" s="582">
        <f ca="1">+'Trial Deposits Engine'!J79</f>
        <v>177387.4</v>
      </c>
      <c r="I46" s="582">
        <f ca="1">+'Trial Deposits Engine'!K79</f>
        <v>152218.12939999998</v>
      </c>
      <c r="J46" s="582">
        <f ca="1">+'Trial Deposits Engine'!L79</f>
        <v>124372.55810899998</v>
      </c>
      <c r="K46" s="582">
        <f ca="1">+'Trial Deposits Engine'!M79</f>
        <v>99256.946383994975</v>
      </c>
      <c r="L46" s="582">
        <f ca="1">+'Trial Deposits Engine'!N79</f>
        <v>102677.81648118209</v>
      </c>
      <c r="M46" s="582">
        <f ca="1">+'Trial Deposits Engine'!O79</f>
        <v>82734.959947855561</v>
      </c>
      <c r="N46" s="582">
        <f ca="1">+'Trial Deposits Engine'!P79</f>
        <v>76929.840090918253</v>
      </c>
      <c r="O46" s="582">
        <f ca="1">+'Trial Deposits Engine'!Q79</f>
        <v>71501.620551003783</v>
      </c>
      <c r="P46" s="582">
        <f ca="1">+'Trial Deposits Engine'!R79</f>
        <v>-36982.765624834967</v>
      </c>
      <c r="Q46" s="582">
        <f ca="1">+'Trial Deposits Engine'!S79</f>
        <v>-141039.95431862085</v>
      </c>
      <c r="R46" s="582">
        <f ca="1">+'Trial Deposits Engine'!T79</f>
        <v>-171835.76678628245</v>
      </c>
      <c r="S46" s="582">
        <f ca="1">+'Trial Deposits Engine'!U79</f>
        <v>-215984.35550329729</v>
      </c>
      <c r="T46" s="582">
        <f ca="1">+'Trial Deposits Engine'!V79</f>
        <v>-307888.67599465244</v>
      </c>
      <c r="U46" s="582">
        <f ca="1">+'Trial Deposits Engine'!W79</f>
        <v>-295095.48289583466</v>
      </c>
      <c r="V46" s="582">
        <f ca="1">+'Trial Deposits Engine'!X79</f>
        <v>-267914.32593504054</v>
      </c>
      <c r="W46" s="582">
        <f ca="1">+'Trial Deposits Engine'!Y79</f>
        <v>-284015.5458350305</v>
      </c>
      <c r="X46" s="582">
        <f ca="1">+'Trial Deposits Engine'!Z79</f>
        <v>-292605.2701330203</v>
      </c>
      <c r="Y46" s="583">
        <f ca="1">+'Trial Deposits Engine'!AA79</f>
        <v>-560246.4089169699</v>
      </c>
      <c r="Z46" s="492"/>
    </row>
    <row r="47" spans="1:26" x14ac:dyDescent="0.25">
      <c r="A47" s="490"/>
      <c r="B47" s="493"/>
      <c r="C47" s="493"/>
      <c r="D47" s="493"/>
      <c r="E47" s="529" t="str">
        <f t="shared" ref="E47:Y47" si="16">+E18</f>
        <v>Req. Min. Balance (from eTool data)</v>
      </c>
      <c r="F47" s="533">
        <f t="shared" si="16"/>
        <v>50151</v>
      </c>
      <c r="G47" s="533">
        <f t="shared" si="16"/>
        <v>51154</v>
      </c>
      <c r="H47" s="533">
        <f t="shared" si="16"/>
        <v>52177</v>
      </c>
      <c r="I47" s="533">
        <f t="shared" si="16"/>
        <v>53220</v>
      </c>
      <c r="J47" s="533">
        <f t="shared" si="16"/>
        <v>54285</v>
      </c>
      <c r="K47" s="533">
        <f t="shared" si="16"/>
        <v>55370</v>
      </c>
      <c r="L47" s="533">
        <f t="shared" si="16"/>
        <v>56478</v>
      </c>
      <c r="M47" s="533">
        <f t="shared" si="16"/>
        <v>57607</v>
      </c>
      <c r="N47" s="533">
        <f t="shared" si="16"/>
        <v>58760</v>
      </c>
      <c r="O47" s="533">
        <f t="shared" si="16"/>
        <v>59935</v>
      </c>
      <c r="P47" s="533">
        <f t="shared" si="16"/>
        <v>61133</v>
      </c>
      <c r="Q47" s="533">
        <f t="shared" si="16"/>
        <v>62356</v>
      </c>
      <c r="R47" s="533">
        <f t="shared" si="16"/>
        <v>63603</v>
      </c>
      <c r="S47" s="533">
        <f t="shared" si="16"/>
        <v>64875</v>
      </c>
      <c r="T47" s="533">
        <f t="shared" si="16"/>
        <v>66173</v>
      </c>
      <c r="U47" s="533">
        <f t="shared" si="16"/>
        <v>67496</v>
      </c>
      <c r="V47" s="533">
        <f t="shared" si="16"/>
        <v>68846</v>
      </c>
      <c r="W47" s="533">
        <f t="shared" si="16"/>
        <v>70223</v>
      </c>
      <c r="X47" s="533">
        <f t="shared" si="16"/>
        <v>71628</v>
      </c>
      <c r="Y47" s="534">
        <f t="shared" si="16"/>
        <v>73060</v>
      </c>
      <c r="Z47" s="492"/>
    </row>
    <row r="48" spans="1:26" x14ac:dyDescent="0.25">
      <c r="A48" s="490"/>
      <c r="B48" s="493"/>
      <c r="C48" s="493"/>
      <c r="D48" s="493"/>
      <c r="E48" s="529" t="s">
        <v>95</v>
      </c>
      <c r="F48" s="582">
        <f t="shared" ref="F48:Y48" ca="1" si="17">+F46-F47</f>
        <v>171649</v>
      </c>
      <c r="G48" s="582">
        <f t="shared" ca="1" si="17"/>
        <v>179078</v>
      </c>
      <c r="H48" s="582">
        <f t="shared" ca="1" si="17"/>
        <v>125210.4</v>
      </c>
      <c r="I48" s="582">
        <f t="shared" ca="1" si="17"/>
        <v>98998.129399999976</v>
      </c>
      <c r="J48" s="582">
        <f t="shared" ca="1" si="17"/>
        <v>70087.558108999976</v>
      </c>
      <c r="K48" s="582">
        <f t="shared" ca="1" si="17"/>
        <v>43886.946383994975</v>
      </c>
      <c r="L48" s="582">
        <f t="shared" ca="1" si="17"/>
        <v>46199.81648118209</v>
      </c>
      <c r="M48" s="582">
        <f t="shared" ca="1" si="17"/>
        <v>25127.959947855561</v>
      </c>
      <c r="N48" s="582">
        <f t="shared" ca="1" si="17"/>
        <v>18169.840090918253</v>
      </c>
      <c r="O48" s="582">
        <f t="shared" ca="1" si="17"/>
        <v>11566.620551003783</v>
      </c>
      <c r="P48" s="582">
        <f t="shared" ca="1" si="17"/>
        <v>-98115.765624834967</v>
      </c>
      <c r="Q48" s="582">
        <f t="shared" ca="1" si="17"/>
        <v>-203395.95431862085</v>
      </c>
      <c r="R48" s="582">
        <f t="shared" ca="1" si="17"/>
        <v>-235438.76678628245</v>
      </c>
      <c r="S48" s="582">
        <f t="shared" ca="1" si="17"/>
        <v>-280859.35550329729</v>
      </c>
      <c r="T48" s="582">
        <f t="shared" ca="1" si="17"/>
        <v>-374061.67599465244</v>
      </c>
      <c r="U48" s="582">
        <f t="shared" ca="1" si="17"/>
        <v>-362591.48289583466</v>
      </c>
      <c r="V48" s="582">
        <f t="shared" ca="1" si="17"/>
        <v>-336760.32593504054</v>
      </c>
      <c r="W48" s="582">
        <f t="shared" ca="1" si="17"/>
        <v>-354238.5458350305</v>
      </c>
      <c r="X48" s="582">
        <f t="shared" ca="1" si="17"/>
        <v>-364233.2701330203</v>
      </c>
      <c r="Y48" s="583">
        <f t="shared" ca="1" si="17"/>
        <v>-633306.4089169699</v>
      </c>
      <c r="Z48" s="492"/>
    </row>
    <row r="49" spans="1:26" x14ac:dyDescent="0.25">
      <c r="A49" s="490"/>
      <c r="B49" s="493"/>
      <c r="C49" s="493"/>
      <c r="D49" s="493"/>
      <c r="E49" s="580"/>
      <c r="F49" s="539"/>
      <c r="G49" s="539"/>
      <c r="H49" s="539"/>
      <c r="I49" s="539"/>
      <c r="J49" s="539"/>
      <c r="K49" s="539"/>
      <c r="L49" s="539"/>
      <c r="M49" s="539"/>
      <c r="N49" s="539"/>
      <c r="O49" s="540" t="s">
        <v>67</v>
      </c>
      <c r="P49" s="541">
        <f t="shared" ref="P49:Y49" ca="1" si="18">+P15+P48</f>
        <v>1092568.7617995527</v>
      </c>
      <c r="Q49" s="541">
        <f t="shared" ca="1" si="18"/>
        <v>1119228.0091976929</v>
      </c>
      <c r="R49" s="541">
        <f t="shared" ca="1" si="18"/>
        <v>1223681.14401086</v>
      </c>
      <c r="S49" s="541">
        <f t="shared" ca="1" si="18"/>
        <v>1319470.3722822284</v>
      </c>
      <c r="T49" s="541">
        <f t="shared" ca="1" si="18"/>
        <v>1372354.5313613387</v>
      </c>
      <c r="U49" s="541">
        <f t="shared" ca="1" si="18"/>
        <v>1534956.2815178947</v>
      </c>
      <c r="V49" s="541">
        <f t="shared" ca="1" si="18"/>
        <v>1717138.3041156316</v>
      </c>
      <c r="W49" s="541">
        <f t="shared" ca="1" si="18"/>
        <v>1861410.506571728</v>
      </c>
      <c r="X49" s="541">
        <f t="shared" ca="1" si="18"/>
        <v>2018752.2343348595</v>
      </c>
      <c r="Y49" s="542">
        <f t="shared" ca="1" si="18"/>
        <v>1922794.4901231793</v>
      </c>
      <c r="Z49" s="492"/>
    </row>
    <row r="50" spans="1:26" ht="15.75" thickBot="1" x14ac:dyDescent="0.3">
      <c r="A50" s="490"/>
      <c r="B50" s="493"/>
      <c r="C50" s="493"/>
      <c r="D50" s="493"/>
      <c r="E50" s="584"/>
      <c r="F50" s="585"/>
      <c r="G50" s="585"/>
      <c r="H50" s="585"/>
      <c r="I50" s="585"/>
      <c r="J50" s="585"/>
      <c r="K50" s="585"/>
      <c r="L50" s="585"/>
      <c r="M50" s="586"/>
      <c r="N50" s="586"/>
      <c r="O50" s="587" t="s">
        <v>70</v>
      </c>
      <c r="P50" s="550" t="str">
        <f t="shared" ref="P50:Y50" ca="1" si="19">+IF(P48&gt;0,"OK",IF(P15&gt;=-P48,"OK","Not OK"))</f>
        <v>OK</v>
      </c>
      <c r="Q50" s="550" t="str">
        <f t="shared" ca="1" si="19"/>
        <v>OK</v>
      </c>
      <c r="R50" s="550" t="str">
        <f t="shared" ca="1" si="19"/>
        <v>OK</v>
      </c>
      <c r="S50" s="550" t="str">
        <f t="shared" ca="1" si="19"/>
        <v>OK</v>
      </c>
      <c r="T50" s="550" t="str">
        <f t="shared" ca="1" si="19"/>
        <v>OK</v>
      </c>
      <c r="U50" s="550" t="str">
        <f t="shared" ca="1" si="19"/>
        <v>OK</v>
      </c>
      <c r="V50" s="550" t="str">
        <f t="shared" ca="1" si="19"/>
        <v>OK</v>
      </c>
      <c r="W50" s="550" t="str">
        <f t="shared" ca="1" si="19"/>
        <v>OK</v>
      </c>
      <c r="X50" s="550" t="str">
        <f t="shared" ca="1" si="19"/>
        <v>OK</v>
      </c>
      <c r="Y50" s="588" t="str">
        <f t="shared" ca="1" si="19"/>
        <v>OK</v>
      </c>
      <c r="Z50" s="492"/>
    </row>
    <row r="51" spans="1:26" x14ac:dyDescent="0.25">
      <c r="A51" s="490"/>
      <c r="B51" s="493"/>
      <c r="C51" s="493"/>
      <c r="D51" s="493"/>
      <c r="E51" s="551" t="s">
        <v>96</v>
      </c>
      <c r="F51" s="553">
        <f t="shared" ref="F51:Y51" ca="1" si="20">-+F48/F14</f>
        <v>-0.94500286386079968</v>
      </c>
      <c r="G51" s="553">
        <f t="shared" ca="1" si="20"/>
        <v>-0.48458385986216429</v>
      </c>
      <c r="H51" s="553">
        <f t="shared" ca="1" si="20"/>
        <v>-0.22202352972120978</v>
      </c>
      <c r="I51" s="553">
        <f t="shared" ca="1" si="20"/>
        <v>-0.12939822063122933</v>
      </c>
      <c r="J51" s="553">
        <f t="shared" ca="1" si="20"/>
        <v>-7.2023132233477588E-2</v>
      </c>
      <c r="K51" s="553">
        <f t="shared" ca="1" si="20"/>
        <v>-3.6930340143744356E-2</v>
      </c>
      <c r="L51" s="553">
        <f t="shared" ca="1" si="20"/>
        <v>-3.2741448332785875E-2</v>
      </c>
      <c r="M51" s="553">
        <f t="shared" ca="1" si="20"/>
        <v>-1.5308682005530053E-2</v>
      </c>
      <c r="N51" s="553">
        <f t="shared" ca="1" si="20"/>
        <v>-9.6661264005317091E-3</v>
      </c>
      <c r="O51" s="553">
        <f t="shared" ca="1" si="20"/>
        <v>-5.4397902572496009E-3</v>
      </c>
      <c r="P51" s="553">
        <f t="shared" ca="1" si="20"/>
        <v>4.1201411190364877E-2</v>
      </c>
      <c r="Q51" s="553">
        <f t="shared" ca="1" si="20"/>
        <v>7.6891074080449359E-2</v>
      </c>
      <c r="R51" s="553">
        <f t="shared" ca="1" si="20"/>
        <v>8.0678347627255037E-2</v>
      </c>
      <c r="S51" s="553">
        <f t="shared" ca="1" si="20"/>
        <v>8.7750464990717744E-2</v>
      </c>
      <c r="T51" s="553">
        <f t="shared" ca="1" si="20"/>
        <v>0.10709408055739698</v>
      </c>
      <c r="U51" s="553">
        <f t="shared" ca="1" si="20"/>
        <v>9.5542122758596734E-2</v>
      </c>
      <c r="V51" s="553">
        <f t="shared" ca="1" si="20"/>
        <v>8.1980756257365103E-2</v>
      </c>
      <c r="W51" s="553">
        <f t="shared" ca="1" si="20"/>
        <v>7.9940129834695006E-2</v>
      </c>
      <c r="X51" s="553">
        <f t="shared" ca="1" si="20"/>
        <v>7.6423727599290101E-2</v>
      </c>
      <c r="Y51" s="553">
        <f t="shared" ca="1" si="20"/>
        <v>0.12388133996486311</v>
      </c>
      <c r="Z51" s="492"/>
    </row>
    <row r="52" spans="1:26" ht="15.75" thickBot="1" x14ac:dyDescent="0.3">
      <c r="A52" s="490"/>
      <c r="B52" s="493"/>
      <c r="C52" s="493"/>
      <c r="D52" s="493"/>
      <c r="E52" s="497"/>
      <c r="F52" s="497"/>
      <c r="G52" s="497"/>
      <c r="H52" s="497"/>
      <c r="I52" s="497"/>
      <c r="J52" s="497"/>
      <c r="K52" s="497"/>
      <c r="L52" s="497"/>
      <c r="M52" s="497"/>
      <c r="N52" s="497"/>
      <c r="O52" s="497"/>
      <c r="P52" s="497"/>
      <c r="Q52" s="497"/>
      <c r="R52" s="497"/>
      <c r="S52" s="497"/>
      <c r="T52" s="497"/>
      <c r="U52" s="497"/>
      <c r="V52" s="497"/>
      <c r="W52" s="497"/>
      <c r="X52" s="497"/>
      <c r="Y52" s="497"/>
      <c r="Z52" s="492"/>
    </row>
    <row r="53" spans="1:26" x14ac:dyDescent="0.25">
      <c r="A53" s="589" t="s">
        <v>97</v>
      </c>
      <c r="B53" s="501"/>
      <c r="C53" s="501"/>
      <c r="D53" s="590" t="s">
        <v>98</v>
      </c>
      <c r="E53" s="591" t="s">
        <v>99</v>
      </c>
      <c r="F53" s="592">
        <f>+'Trial Deposits Engine'!H60+'Trial Deposits Engine'!H69</f>
        <v>219800</v>
      </c>
      <c r="G53" s="592">
        <f>+'Trial Deposits Engine'!I69</f>
        <v>20196</v>
      </c>
      <c r="H53" s="592">
        <f>+'Trial Deposits Engine'!J69</f>
        <v>20599.919999999998</v>
      </c>
      <c r="I53" s="592">
        <f>+'Trial Deposits Engine'!K69</f>
        <v>21011.918399999999</v>
      </c>
      <c r="J53" s="592">
        <f>+'Trial Deposits Engine'!L69</f>
        <v>21432.156768000001</v>
      </c>
      <c r="K53" s="592">
        <f>+'Trial Deposits Engine'!M69</f>
        <v>21860.799903359999</v>
      </c>
      <c r="L53" s="592">
        <f>+'Trial Deposits Engine'!N69</f>
        <v>22298.015901427199</v>
      </c>
      <c r="M53" s="592">
        <f>+'Trial Deposits Engine'!O69</f>
        <v>22743.976219455744</v>
      </c>
      <c r="N53" s="592">
        <f>+'Trial Deposits Engine'!P69</f>
        <v>23198.855743844862</v>
      </c>
      <c r="O53" s="592">
        <f>+'Trial Deposits Engine'!Q69</f>
        <v>23662.832858721758</v>
      </c>
      <c r="P53" s="592">
        <f>+'Trial Deposits Engine'!R69</f>
        <v>24136.089515896194</v>
      </c>
      <c r="Q53" s="592">
        <f>+'Trial Deposits Engine'!S69</f>
        <v>24618.81130621412</v>
      </c>
      <c r="R53" s="592">
        <f>+'Trial Deposits Engine'!T69</f>
        <v>25111.187532338401</v>
      </c>
      <c r="S53" s="592">
        <f>+'Trial Deposits Engine'!U69</f>
        <v>25613.411282985166</v>
      </c>
      <c r="T53" s="592">
        <f>+'Trial Deposits Engine'!V69</f>
        <v>26125.679508644873</v>
      </c>
      <c r="U53" s="592">
        <f>+'Trial Deposits Engine'!W69</f>
        <v>26648.19309881777</v>
      </c>
      <c r="V53" s="592">
        <f>+'Trial Deposits Engine'!X69</f>
        <v>27181.156960794127</v>
      </c>
      <c r="W53" s="592">
        <f>+'Trial Deposits Engine'!Y69</f>
        <v>27724.780100010012</v>
      </c>
      <c r="X53" s="592">
        <f>+'Trial Deposits Engine'!Z69</f>
        <v>28279.275702010214</v>
      </c>
      <c r="Y53" s="593">
        <f>+'Trial Deposits Engine'!AA69</f>
        <v>28844.861216050416</v>
      </c>
      <c r="Z53" s="492"/>
    </row>
    <row r="54" spans="1:26" ht="15.75" thickBot="1" x14ac:dyDescent="0.3">
      <c r="A54" s="579"/>
      <c r="B54" s="585"/>
      <c r="C54" s="574"/>
      <c r="D54" s="509" t="s">
        <v>100</v>
      </c>
      <c r="E54" s="548" t="str">
        <f>+'eTool Data'!E7</f>
        <v>Inflated Needs (Withdrawal)</v>
      </c>
      <c r="F54" s="594">
        <f>-'eTool Data'!F7</f>
        <v>0</v>
      </c>
      <c r="G54" s="594">
        <f>-'eTool Data'!G7</f>
        <v>-13982</v>
      </c>
      <c r="H54" s="594">
        <f>-'eTool Data'!H7</f>
        <v>-76898</v>
      </c>
      <c r="I54" s="594">
        <f>-'eTool Data'!I7</f>
        <v>-48842</v>
      </c>
      <c r="J54" s="594">
        <f>-'eTool Data'!J7</f>
        <v>-51561</v>
      </c>
      <c r="K54" s="594">
        <f>-'eTool Data'!K7</f>
        <v>-48842</v>
      </c>
      <c r="L54" s="594">
        <f>-'eTool Data'!L7</f>
        <v>-20366</v>
      </c>
      <c r="M54" s="594">
        <f>-'eTool Data'!M7</f>
        <v>-44227</v>
      </c>
      <c r="N54" s="594">
        <f>-'eTool Data'!N7</f>
        <v>-30245</v>
      </c>
      <c r="O54" s="594">
        <f>-'eTool Data'!O7</f>
        <v>-30245</v>
      </c>
      <c r="P54" s="594">
        <f>-'eTool Data'!P7</f>
        <v>-133693</v>
      </c>
      <c r="Q54" s="594">
        <f>-'eTool Data'!Q7</f>
        <v>-128676</v>
      </c>
      <c r="R54" s="594">
        <f>-'eTool Data'!R7</f>
        <v>-55907</v>
      </c>
      <c r="S54" s="594">
        <f>-'eTool Data'!S7</f>
        <v>-69762</v>
      </c>
      <c r="T54" s="594">
        <f>-'eTool Data'!T7</f>
        <v>-118030</v>
      </c>
      <c r="U54" s="594">
        <f>-'eTool Data'!U7</f>
        <v>-13855</v>
      </c>
      <c r="V54" s="594">
        <f>-'eTool Data'!V7</f>
        <v>0</v>
      </c>
      <c r="W54" s="594">
        <f>-'eTool Data'!W7</f>
        <v>-43826</v>
      </c>
      <c r="X54" s="594">
        <f>-'eTool Data'!X7</f>
        <v>-36869</v>
      </c>
      <c r="Y54" s="595">
        <f>-'eTool Data'!Y7</f>
        <v>-296486</v>
      </c>
      <c r="Z54" s="492"/>
    </row>
    <row r="55" spans="1:26" x14ac:dyDescent="0.25">
      <c r="A55" s="490"/>
      <c r="B55" s="535"/>
      <c r="C55" s="493"/>
      <c r="D55" s="493"/>
      <c r="E55" s="566"/>
      <c r="F55" s="539" t="str">
        <f>+'eTool Data'!F2</f>
        <v>Year 01</v>
      </c>
      <c r="G55" s="539" t="str">
        <f>+'eTool Data'!G2</f>
        <v>Year 02</v>
      </c>
      <c r="H55" s="539" t="str">
        <f>+'eTool Data'!H2</f>
        <v>Year 03</v>
      </c>
      <c r="I55" s="539" t="str">
        <f>+'eTool Data'!I2</f>
        <v>Year 04</v>
      </c>
      <c r="J55" s="539" t="str">
        <f>+'eTool Data'!J2</f>
        <v>Year 05</v>
      </c>
      <c r="K55" s="539" t="str">
        <f>+'eTool Data'!K2</f>
        <v>Year 06</v>
      </c>
      <c r="L55" s="539" t="str">
        <f>+'eTool Data'!L2</f>
        <v>Year 07</v>
      </c>
      <c r="M55" s="539" t="str">
        <f>+'eTool Data'!M2</f>
        <v>Year 08</v>
      </c>
      <c r="N55" s="539" t="str">
        <f>+'eTool Data'!N2</f>
        <v>Year 09</v>
      </c>
      <c r="O55" s="539" t="str">
        <f>+'eTool Data'!O2</f>
        <v>Year 10</v>
      </c>
      <c r="P55" s="539" t="str">
        <f>+'eTool Data'!P2</f>
        <v>Year 11</v>
      </c>
      <c r="Q55" s="539" t="str">
        <f>+'eTool Data'!Q2</f>
        <v>Year 12</v>
      </c>
      <c r="R55" s="539" t="str">
        <f>+'eTool Data'!R2</f>
        <v>Year 13</v>
      </c>
      <c r="S55" s="539" t="str">
        <f>+'eTool Data'!S2</f>
        <v>Year 14</v>
      </c>
      <c r="T55" s="539" t="str">
        <f>+'eTool Data'!T2</f>
        <v>Year 15</v>
      </c>
      <c r="U55" s="539" t="str">
        <f>+'eTool Data'!U2</f>
        <v>Year 16</v>
      </c>
      <c r="V55" s="539" t="str">
        <f>+'eTool Data'!V2</f>
        <v>Year 17</v>
      </c>
      <c r="W55" s="539" t="str">
        <f>+'eTool Data'!W2</f>
        <v>Year 18</v>
      </c>
      <c r="X55" s="539" t="str">
        <f>+'eTool Data'!X2</f>
        <v>Year 19</v>
      </c>
      <c r="Y55" s="581" t="str">
        <f>+'eTool Data'!Y2</f>
        <v>Year 20</v>
      </c>
      <c r="Z55" s="492"/>
    </row>
    <row r="56" spans="1:26" x14ac:dyDescent="0.25">
      <c r="A56" s="535"/>
      <c r="B56" s="493"/>
      <c r="C56" s="535"/>
      <c r="D56" s="596" t="s">
        <v>100</v>
      </c>
      <c r="E56" s="529" t="s">
        <v>101</v>
      </c>
      <c r="F56" s="582">
        <f t="shared" ref="F56:Y56" si="21">+F18</f>
        <v>50151</v>
      </c>
      <c r="G56" s="582">
        <f t="shared" si="21"/>
        <v>51154</v>
      </c>
      <c r="H56" s="582">
        <f t="shared" si="21"/>
        <v>52177</v>
      </c>
      <c r="I56" s="582">
        <f t="shared" si="21"/>
        <v>53220</v>
      </c>
      <c r="J56" s="582">
        <f t="shared" si="21"/>
        <v>54285</v>
      </c>
      <c r="K56" s="582">
        <f t="shared" si="21"/>
        <v>55370</v>
      </c>
      <c r="L56" s="582">
        <f t="shared" si="21"/>
        <v>56478</v>
      </c>
      <c r="M56" s="582">
        <f t="shared" si="21"/>
        <v>57607</v>
      </c>
      <c r="N56" s="582">
        <f t="shared" si="21"/>
        <v>58760</v>
      </c>
      <c r="O56" s="582">
        <f t="shared" si="21"/>
        <v>59935</v>
      </c>
      <c r="P56" s="582">
        <f t="shared" si="21"/>
        <v>61133</v>
      </c>
      <c r="Q56" s="582">
        <f t="shared" si="21"/>
        <v>62356</v>
      </c>
      <c r="R56" s="582">
        <f t="shared" si="21"/>
        <v>63603</v>
      </c>
      <c r="S56" s="582">
        <f t="shared" si="21"/>
        <v>64875</v>
      </c>
      <c r="T56" s="582">
        <f t="shared" si="21"/>
        <v>66173</v>
      </c>
      <c r="U56" s="582">
        <f t="shared" si="21"/>
        <v>67496</v>
      </c>
      <c r="V56" s="582">
        <f t="shared" si="21"/>
        <v>68846</v>
      </c>
      <c r="W56" s="582">
        <f t="shared" si="21"/>
        <v>70223</v>
      </c>
      <c r="X56" s="582">
        <f t="shared" si="21"/>
        <v>71628</v>
      </c>
      <c r="Y56" s="583">
        <f t="shared" si="21"/>
        <v>73060</v>
      </c>
      <c r="Z56" s="492"/>
    </row>
    <row r="57" spans="1:26" x14ac:dyDescent="0.25">
      <c r="A57" s="535"/>
      <c r="B57" s="493"/>
      <c r="C57" s="535"/>
      <c r="D57" s="596"/>
      <c r="E57" s="490"/>
      <c r="F57" s="493"/>
      <c r="G57" s="493"/>
      <c r="H57" s="493"/>
      <c r="I57" s="493"/>
      <c r="J57" s="493"/>
      <c r="K57" s="493"/>
      <c r="L57" s="493"/>
      <c r="M57" s="493"/>
      <c r="N57" s="493"/>
      <c r="O57" s="493"/>
      <c r="P57" s="493"/>
      <c r="Q57" s="493"/>
      <c r="R57" s="493"/>
      <c r="S57" s="493"/>
      <c r="T57" s="493"/>
      <c r="U57" s="493"/>
      <c r="V57" s="493"/>
      <c r="W57" s="493"/>
      <c r="X57" s="493"/>
      <c r="Y57" s="492"/>
      <c r="Z57" s="492"/>
    </row>
    <row r="58" spans="1:26" ht="15.75" thickBot="1" x14ac:dyDescent="0.3">
      <c r="A58" s="490"/>
      <c r="B58" s="535"/>
      <c r="C58" s="493"/>
      <c r="D58" s="597" t="s">
        <v>98</v>
      </c>
      <c r="E58" s="548" t="s">
        <v>102</v>
      </c>
      <c r="F58" s="594">
        <f t="shared" ref="F58:Y58" ca="1" si="22">-F48</f>
        <v>-171649</v>
      </c>
      <c r="G58" s="594">
        <f t="shared" ca="1" si="22"/>
        <v>-179078</v>
      </c>
      <c r="H58" s="594">
        <f t="shared" ca="1" si="22"/>
        <v>-125210.4</v>
      </c>
      <c r="I58" s="594">
        <f t="shared" ca="1" si="22"/>
        <v>-98998.129399999976</v>
      </c>
      <c r="J58" s="594">
        <f t="shared" ca="1" si="22"/>
        <v>-70087.558108999976</v>
      </c>
      <c r="K58" s="594">
        <f t="shared" ca="1" si="22"/>
        <v>-43886.946383994975</v>
      </c>
      <c r="L58" s="594">
        <f t="shared" ca="1" si="22"/>
        <v>-46199.81648118209</v>
      </c>
      <c r="M58" s="594">
        <f t="shared" ca="1" si="22"/>
        <v>-25127.959947855561</v>
      </c>
      <c r="N58" s="594">
        <f t="shared" ca="1" si="22"/>
        <v>-18169.840090918253</v>
      </c>
      <c r="O58" s="594">
        <f t="shared" ca="1" si="22"/>
        <v>-11566.620551003783</v>
      </c>
      <c r="P58" s="594">
        <f t="shared" ca="1" si="22"/>
        <v>98115.765624834967</v>
      </c>
      <c r="Q58" s="594">
        <f t="shared" ca="1" si="22"/>
        <v>203395.95431862085</v>
      </c>
      <c r="R58" s="594">
        <f t="shared" ca="1" si="22"/>
        <v>235438.76678628245</v>
      </c>
      <c r="S58" s="594">
        <f t="shared" ca="1" si="22"/>
        <v>280859.35550329729</v>
      </c>
      <c r="T58" s="594">
        <f t="shared" ca="1" si="22"/>
        <v>374061.67599465244</v>
      </c>
      <c r="U58" s="594">
        <f t="shared" ca="1" si="22"/>
        <v>362591.48289583466</v>
      </c>
      <c r="V58" s="594">
        <f t="shared" ca="1" si="22"/>
        <v>336760.32593504054</v>
      </c>
      <c r="W58" s="594">
        <f t="shared" ca="1" si="22"/>
        <v>354238.5458350305</v>
      </c>
      <c r="X58" s="594">
        <f t="shared" ca="1" si="22"/>
        <v>364233.2701330203</v>
      </c>
      <c r="Y58" s="595">
        <f t="shared" ca="1" si="22"/>
        <v>633306.4089169699</v>
      </c>
      <c r="Z58" s="492"/>
    </row>
    <row r="59" spans="1:26" x14ac:dyDescent="0.25">
      <c r="A59" s="490"/>
      <c r="B59" s="535"/>
      <c r="C59" s="493"/>
      <c r="D59" s="493"/>
      <c r="E59" s="488"/>
      <c r="F59" s="598"/>
      <c r="G59" s="598"/>
      <c r="H59" s="598"/>
      <c r="I59" s="598"/>
      <c r="J59" s="598"/>
      <c r="K59" s="598"/>
      <c r="L59" s="598"/>
      <c r="M59" s="598"/>
      <c r="N59" s="598"/>
      <c r="O59" s="598"/>
      <c r="P59" s="598"/>
      <c r="Q59" s="598"/>
      <c r="R59" s="598"/>
      <c r="S59" s="598"/>
      <c r="T59" s="598"/>
      <c r="U59" s="598"/>
      <c r="V59" s="598"/>
      <c r="W59" s="598"/>
      <c r="X59" s="598"/>
      <c r="Y59" s="598"/>
      <c r="Z59" s="492"/>
    </row>
    <row r="60" spans="1:26" x14ac:dyDescent="0.25">
      <c r="A60" s="490"/>
      <c r="B60" s="535"/>
      <c r="C60" s="493"/>
      <c r="D60" s="493"/>
      <c r="E60" s="599"/>
      <c r="F60" s="600"/>
      <c r="G60" s="600"/>
      <c r="H60" s="600"/>
      <c r="I60" s="600"/>
      <c r="J60" s="600"/>
      <c r="K60" s="600"/>
      <c r="L60" s="600"/>
      <c r="M60" s="600"/>
      <c r="N60" s="600"/>
      <c r="O60" s="600"/>
      <c r="P60" s="600"/>
      <c r="Q60" s="600"/>
      <c r="R60" s="600"/>
      <c r="S60" s="600"/>
      <c r="T60" s="600"/>
      <c r="U60" s="600"/>
      <c r="V60" s="600"/>
      <c r="W60" s="600"/>
      <c r="X60" s="600"/>
      <c r="Y60" s="600"/>
      <c r="Z60" s="492"/>
    </row>
    <row r="61" spans="1:26" ht="15.75" thickBot="1" x14ac:dyDescent="0.3">
      <c r="A61" s="496"/>
      <c r="B61" s="497"/>
      <c r="C61" s="497"/>
      <c r="D61" s="497"/>
      <c r="E61" s="497"/>
      <c r="F61" s="497"/>
      <c r="G61" s="497"/>
      <c r="H61" s="497"/>
      <c r="I61" s="497"/>
      <c r="J61" s="497"/>
      <c r="K61" s="497"/>
      <c r="L61" s="497"/>
      <c r="M61" s="497"/>
      <c r="N61" s="497"/>
      <c r="O61" s="497"/>
      <c r="P61" s="497"/>
      <c r="Q61" s="497"/>
      <c r="R61" s="497"/>
      <c r="S61" s="497"/>
      <c r="T61" s="497"/>
      <c r="U61" s="497"/>
      <c r="V61" s="497"/>
      <c r="W61" s="497"/>
      <c r="X61" s="497"/>
      <c r="Y61" s="497"/>
      <c r="Z61" s="498"/>
    </row>
  </sheetData>
  <sheetProtection algorithmName="SHA-512" hashValue="EXNy3/cxmZPfWnPEBb6MjI4GOnR8CaYcuYpSdqwQBsM59Pse0IC3dnppGcJzRMww91zN/0VGT2vFmDcT+A8zcw==" saltValue="lYyGJeQQ7HDgM+xHspmPww==" spinCount="100000" sheet="1" objects="1" scenarios="1"/>
  <mergeCells count="3">
    <mergeCell ref="A12:D13"/>
    <mergeCell ref="C37:D40"/>
    <mergeCell ref="B1:I7"/>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0" tint="-0.34998626667073579"/>
  </sheetPr>
  <dimension ref="A1:XFD262"/>
  <sheetViews>
    <sheetView zoomScale="70" zoomScaleNormal="70" workbookViewId="0">
      <selection activeCell="C2" sqref="B2:C2"/>
    </sheetView>
  </sheetViews>
  <sheetFormatPr defaultRowHeight="15" outlineLevelRow="2" x14ac:dyDescent="0.25"/>
  <cols>
    <col min="1" max="1" width="5.140625" customWidth="1"/>
    <col min="2" max="2" width="3.42578125" customWidth="1"/>
    <col min="3" max="3" width="31" customWidth="1"/>
    <col min="4" max="4" width="5.42578125" bestFit="1" customWidth="1"/>
    <col min="5" max="5" width="3.85546875" customWidth="1"/>
    <col min="6" max="6" width="3.5703125" customWidth="1"/>
    <col min="7" max="7" width="12.28515625" customWidth="1"/>
    <col min="8" max="8" width="20.85546875" customWidth="1"/>
    <col min="9" max="9" width="20.7109375" customWidth="1"/>
    <col min="10" max="10" width="25.85546875" customWidth="1"/>
    <col min="11" max="11" width="20.7109375" customWidth="1"/>
    <col min="12" max="12" width="20.5703125" customWidth="1"/>
    <col min="13" max="13" width="20.28515625" customWidth="1"/>
    <col min="14" max="27" width="20.7109375" customWidth="1"/>
    <col min="28" max="28" width="17" customWidth="1"/>
    <col min="29" max="29" width="6.85546875" customWidth="1"/>
    <col min="30" max="31" width="20.7109375" customWidth="1"/>
  </cols>
  <sheetData>
    <row r="1" spans="1:29" ht="16.5" thickBot="1" x14ac:dyDescent="0.3">
      <c r="A1" s="134"/>
      <c r="B1" s="135"/>
      <c r="C1" s="135"/>
      <c r="D1" s="135"/>
      <c r="E1" s="135"/>
      <c r="F1" s="135"/>
      <c r="G1" s="135"/>
      <c r="H1" s="136" t="s">
        <v>293</v>
      </c>
      <c r="I1" s="135"/>
      <c r="J1" s="135"/>
      <c r="K1" s="135"/>
      <c r="L1" s="135"/>
      <c r="M1" s="135"/>
      <c r="N1" s="135"/>
      <c r="O1" s="135"/>
      <c r="P1" s="135"/>
      <c r="Q1" s="135"/>
      <c r="R1" s="135"/>
      <c r="S1" s="135"/>
      <c r="T1" s="135"/>
      <c r="U1" s="135"/>
      <c r="V1" s="135"/>
      <c r="W1" s="135"/>
      <c r="X1" s="135"/>
      <c r="Y1" s="135"/>
      <c r="Z1" s="135"/>
      <c r="AA1" s="135"/>
      <c r="AB1" s="135"/>
      <c r="AC1" s="42"/>
    </row>
    <row r="2" spans="1:29" ht="45" outlineLevel="1" x14ac:dyDescent="0.25">
      <c r="A2" s="128"/>
      <c r="B2" s="4"/>
      <c r="C2" s="5"/>
      <c r="D2" s="5"/>
      <c r="E2" s="5"/>
      <c r="F2" s="5"/>
      <c r="G2" s="5"/>
      <c r="H2" s="5"/>
      <c r="I2" s="5"/>
      <c r="J2" s="5"/>
      <c r="K2" s="5"/>
      <c r="L2" s="6"/>
      <c r="M2" s="4"/>
      <c r="N2" s="5"/>
      <c r="O2" s="5"/>
      <c r="P2" s="5"/>
      <c r="Q2" s="6"/>
      <c r="R2" s="129"/>
      <c r="S2" s="127" t="s">
        <v>294</v>
      </c>
      <c r="T2" s="129"/>
      <c r="U2" s="129"/>
      <c r="V2" s="129"/>
      <c r="W2" s="129"/>
      <c r="X2" s="129"/>
      <c r="Y2" s="129"/>
      <c r="Z2" s="129"/>
      <c r="AA2" s="129"/>
      <c r="AB2" s="129"/>
      <c r="AC2" s="42"/>
    </row>
    <row r="3" spans="1:29" outlineLevel="1" x14ac:dyDescent="0.25">
      <c r="A3" s="128"/>
      <c r="B3" s="7"/>
      <c r="C3" s="194"/>
      <c r="D3" s="194"/>
      <c r="E3" s="194"/>
      <c r="F3" s="194"/>
      <c r="G3" s="194"/>
      <c r="H3" s="63" t="s">
        <v>295</v>
      </c>
      <c r="I3" s="27" t="s">
        <v>296</v>
      </c>
      <c r="J3" s="194"/>
      <c r="K3" s="194"/>
      <c r="L3" s="8"/>
      <c r="M3" s="7"/>
      <c r="N3" s="194"/>
      <c r="O3" s="194"/>
      <c r="P3" s="194"/>
      <c r="Q3" s="8"/>
      <c r="R3" s="129"/>
      <c r="S3" s="258" t="s">
        <v>297</v>
      </c>
      <c r="T3" s="129"/>
      <c r="U3" s="129"/>
      <c r="V3" s="129"/>
      <c r="W3" s="129"/>
      <c r="X3" s="129"/>
      <c r="Y3" s="129"/>
      <c r="Z3" s="129"/>
      <c r="AA3" s="129"/>
      <c r="AB3" s="129"/>
      <c r="AC3" s="42"/>
    </row>
    <row r="4" spans="1:29" outlineLevel="1" x14ac:dyDescent="0.25">
      <c r="A4" s="128"/>
      <c r="B4" s="7"/>
      <c r="C4" s="194"/>
      <c r="D4" s="194"/>
      <c r="E4" s="194"/>
      <c r="F4" s="194"/>
      <c r="G4" s="194"/>
      <c r="H4" s="63"/>
      <c r="I4" s="28" t="s">
        <v>298</v>
      </c>
      <c r="J4" s="194"/>
      <c r="K4" s="194"/>
      <c r="L4" s="8"/>
      <c r="M4" s="7"/>
      <c r="N4" s="194"/>
      <c r="O4" s="194"/>
      <c r="P4" s="194"/>
      <c r="Q4" s="8"/>
      <c r="R4" s="129"/>
      <c r="S4" s="259" t="s">
        <v>299</v>
      </c>
      <c r="T4" s="129"/>
      <c r="U4" s="129"/>
      <c r="V4" s="129"/>
      <c r="W4" s="129"/>
      <c r="X4" s="129"/>
      <c r="Y4" s="129"/>
      <c r="Z4" s="129"/>
      <c r="AA4" s="129"/>
      <c r="AB4" s="129"/>
      <c r="AC4" s="42"/>
    </row>
    <row r="5" spans="1:29" ht="15.75" outlineLevel="1" thickBot="1" x14ac:dyDescent="0.3">
      <c r="A5" s="128"/>
      <c r="B5" s="7"/>
      <c r="C5" s="194"/>
      <c r="D5" s="194"/>
      <c r="E5" s="194"/>
      <c r="F5" s="194"/>
      <c r="G5" s="194"/>
      <c r="H5" s="63"/>
      <c r="I5" s="28" t="s">
        <v>300</v>
      </c>
      <c r="J5" s="194"/>
      <c r="K5" s="194"/>
      <c r="L5" s="8"/>
      <c r="M5" s="7"/>
      <c r="N5" s="14" t="s">
        <v>301</v>
      </c>
      <c r="O5" s="194"/>
      <c r="P5" s="194"/>
      <c r="Q5" s="33"/>
      <c r="R5" s="129"/>
      <c r="S5" s="129"/>
      <c r="T5" s="129"/>
      <c r="U5" s="129"/>
      <c r="V5" s="129"/>
      <c r="W5" s="129"/>
      <c r="X5" s="129"/>
      <c r="Y5" s="129"/>
      <c r="Z5" s="129"/>
      <c r="AA5" s="129"/>
      <c r="AB5" s="129"/>
      <c r="AC5" s="42"/>
    </row>
    <row r="6" spans="1:29" ht="17.25" outlineLevel="1" thickTop="1" thickBot="1" x14ac:dyDescent="0.3">
      <c r="A6" s="128"/>
      <c r="B6" s="7"/>
      <c r="C6" s="2" t="s">
        <v>302</v>
      </c>
      <c r="D6" s="194"/>
      <c r="E6" s="24" t="s">
        <v>303</v>
      </c>
      <c r="F6" s="194"/>
      <c r="G6" s="194"/>
      <c r="H6" s="28"/>
      <c r="I6" s="28" t="s">
        <v>304</v>
      </c>
      <c r="J6" s="194"/>
      <c r="K6" s="194"/>
      <c r="L6" s="8"/>
      <c r="M6" s="7"/>
      <c r="N6" s="2" t="s">
        <v>305</v>
      </c>
      <c r="O6" s="194"/>
      <c r="P6" s="44">
        <f>+'eTool Data Analysis'!$G$27</f>
        <v>43191</v>
      </c>
      <c r="Q6" s="8"/>
      <c r="R6" s="129"/>
      <c r="S6" s="129"/>
      <c r="T6" s="129"/>
      <c r="U6" s="129"/>
      <c r="V6" s="129"/>
      <c r="W6" s="129"/>
      <c r="X6" s="129"/>
      <c r="Y6" s="129"/>
      <c r="Z6" s="129"/>
      <c r="AA6" s="129"/>
      <c r="AB6" s="129"/>
      <c r="AC6" s="42"/>
    </row>
    <row r="7" spans="1:29" ht="6" customHeight="1" outlineLevel="1" thickBot="1" x14ac:dyDescent="0.3">
      <c r="A7" s="128"/>
      <c r="B7" s="7"/>
      <c r="C7" s="194"/>
      <c r="D7" s="194"/>
      <c r="E7" s="194"/>
      <c r="F7" s="194"/>
      <c r="G7" s="194"/>
      <c r="H7" s="28"/>
      <c r="I7" s="28"/>
      <c r="J7" s="194"/>
      <c r="K7" s="194"/>
      <c r="L7" s="8"/>
      <c r="M7" s="7"/>
      <c r="N7" s="102"/>
      <c r="O7" s="194"/>
      <c r="P7" s="102"/>
      <c r="Q7" s="8"/>
      <c r="R7" s="129"/>
      <c r="S7" s="129"/>
      <c r="T7" s="129"/>
      <c r="U7" s="129"/>
      <c r="V7" s="129"/>
      <c r="W7" s="129"/>
      <c r="X7" s="129"/>
      <c r="Y7" s="129"/>
      <c r="Z7" s="129"/>
      <c r="AA7" s="129"/>
      <c r="AB7" s="129"/>
      <c r="AC7" s="42"/>
    </row>
    <row r="8" spans="1:29" ht="16.5" outlineLevel="1" thickTop="1" thickBot="1" x14ac:dyDescent="0.3">
      <c r="A8" s="128"/>
      <c r="B8" s="7"/>
      <c r="C8" s="2" t="s">
        <v>306</v>
      </c>
      <c r="D8" s="194"/>
      <c r="E8" s="194"/>
      <c r="F8" s="194"/>
      <c r="G8" s="194"/>
      <c r="H8" s="28" t="s">
        <v>307</v>
      </c>
      <c r="I8" s="28"/>
      <c r="J8" s="194"/>
      <c r="K8" s="194"/>
      <c r="L8" s="8"/>
      <c r="M8" s="7"/>
      <c r="N8" s="194" t="s">
        <v>308</v>
      </c>
      <c r="O8" s="194"/>
      <c r="P8" s="44">
        <f>+'eTool Data Analysis'!$G$27</f>
        <v>43191</v>
      </c>
      <c r="Q8" s="8"/>
      <c r="R8" s="129"/>
      <c r="S8" s="129"/>
      <c r="T8" s="129"/>
      <c r="U8" s="129"/>
      <c r="V8" s="129"/>
      <c r="W8" s="129"/>
      <c r="X8" s="129"/>
      <c r="Y8" s="129"/>
      <c r="Z8" s="129"/>
      <c r="AA8" s="129"/>
      <c r="AB8" s="129"/>
      <c r="AC8" s="42"/>
    </row>
    <row r="9" spans="1:29" ht="6" customHeight="1" outlineLevel="1" thickBot="1" x14ac:dyDescent="0.3">
      <c r="A9" s="128"/>
      <c r="B9" s="7"/>
      <c r="C9" s="194"/>
      <c r="D9" s="194"/>
      <c r="E9" s="194"/>
      <c r="F9" s="194"/>
      <c r="G9" s="194"/>
      <c r="H9" s="194"/>
      <c r="I9" s="194"/>
      <c r="J9" s="194"/>
      <c r="K9" s="194"/>
      <c r="L9" s="8"/>
      <c r="M9" s="7"/>
      <c r="N9" s="194"/>
      <c r="O9" s="194"/>
      <c r="P9" s="194"/>
      <c r="Q9" s="8"/>
      <c r="R9" s="129"/>
      <c r="S9" s="129"/>
      <c r="T9" s="129"/>
      <c r="U9" s="129"/>
      <c r="V9" s="129"/>
      <c r="W9" s="129"/>
      <c r="X9" s="129"/>
      <c r="Y9" s="129"/>
      <c r="Z9" s="129"/>
      <c r="AA9" s="129"/>
      <c r="AB9" s="129"/>
      <c r="AC9" s="42"/>
    </row>
    <row r="10" spans="1:29" ht="16.5" outlineLevel="1" thickTop="1" thickBot="1" x14ac:dyDescent="0.3">
      <c r="A10" s="128"/>
      <c r="B10" s="7"/>
      <c r="C10" s="2" t="s">
        <v>309</v>
      </c>
      <c r="D10" s="194"/>
      <c r="E10" s="16"/>
      <c r="F10" s="17" t="s">
        <v>303</v>
      </c>
      <c r="G10" s="17"/>
      <c r="H10" s="18"/>
      <c r="I10" s="18"/>
      <c r="J10" s="18"/>
      <c r="K10" s="18"/>
      <c r="L10" s="8"/>
      <c r="M10" s="7"/>
      <c r="N10" s="2" t="s">
        <v>310</v>
      </c>
      <c r="O10" s="194"/>
      <c r="P10" s="44">
        <f>+P8</f>
        <v>43191</v>
      </c>
      <c r="Q10" s="8"/>
      <c r="R10" s="129"/>
      <c r="S10" s="129"/>
      <c r="T10" s="129"/>
      <c r="U10" s="129"/>
      <c r="V10" s="129"/>
      <c r="W10" s="129"/>
      <c r="X10" s="129"/>
      <c r="Y10" s="129"/>
      <c r="Z10" s="129"/>
      <c r="AA10" s="129"/>
      <c r="AB10" s="129"/>
      <c r="AC10" s="42"/>
    </row>
    <row r="11" spans="1:29" ht="6" customHeight="1" outlineLevel="1" thickBot="1" x14ac:dyDescent="0.3">
      <c r="A11" s="128"/>
      <c r="B11" s="7"/>
      <c r="C11" s="194"/>
      <c r="D11" s="194"/>
      <c r="E11" s="19"/>
      <c r="F11" s="194"/>
      <c r="G11" s="194"/>
      <c r="H11" s="194"/>
      <c r="I11" s="194"/>
      <c r="J11" s="194"/>
      <c r="K11" s="194"/>
      <c r="L11" s="8"/>
      <c r="M11" s="7"/>
      <c r="N11" s="194"/>
      <c r="O11" s="194"/>
      <c r="P11" s="194"/>
      <c r="Q11" s="8"/>
      <c r="R11" s="129"/>
      <c r="S11" s="129"/>
      <c r="T11" s="129"/>
      <c r="U11" s="129"/>
      <c r="V11" s="129"/>
      <c r="W11" s="129"/>
      <c r="X11" s="129"/>
      <c r="Y11" s="129"/>
      <c r="Z11" s="129"/>
      <c r="AA11" s="129"/>
      <c r="AB11" s="129"/>
      <c r="AC11" s="42"/>
    </row>
    <row r="12" spans="1:29" ht="16.5" outlineLevel="1" thickTop="1" thickBot="1" x14ac:dyDescent="0.3">
      <c r="A12" s="128"/>
      <c r="B12" s="7"/>
      <c r="C12" s="2" t="s">
        <v>311</v>
      </c>
      <c r="D12" s="194"/>
      <c r="E12" s="19"/>
      <c r="F12" s="194"/>
      <c r="G12" s="194"/>
      <c r="H12" s="9" t="s">
        <v>312</v>
      </c>
      <c r="I12" s="41" t="s">
        <v>313</v>
      </c>
      <c r="J12" s="9" t="s">
        <v>314</v>
      </c>
      <c r="K12" s="43">
        <v>250</v>
      </c>
      <c r="L12" s="29" t="s">
        <v>315</v>
      </c>
      <c r="M12" s="7"/>
      <c r="N12" s="26" t="s">
        <v>316</v>
      </c>
      <c r="O12" s="194"/>
      <c r="P12" s="194"/>
      <c r="Q12" s="8"/>
      <c r="R12" s="129"/>
      <c r="S12" s="129"/>
      <c r="T12" s="129"/>
      <c r="U12" s="129"/>
      <c r="V12" s="129"/>
      <c r="W12" s="129"/>
      <c r="X12" s="129"/>
      <c r="Y12" s="129"/>
      <c r="Z12" s="129"/>
      <c r="AA12" s="129"/>
      <c r="AB12" s="129"/>
      <c r="AC12" s="42"/>
    </row>
    <row r="13" spans="1:29" ht="6" customHeight="1" outlineLevel="1" thickBot="1" x14ac:dyDescent="0.3">
      <c r="A13" s="128"/>
      <c r="B13" s="7"/>
      <c r="C13" s="194"/>
      <c r="D13" s="194"/>
      <c r="E13" s="19"/>
      <c r="F13" s="194"/>
      <c r="G13" s="194"/>
      <c r="H13" s="9"/>
      <c r="I13" s="194"/>
      <c r="J13" s="9"/>
      <c r="K13" s="194"/>
      <c r="L13" s="8"/>
      <c r="M13" s="7"/>
      <c r="N13" s="194"/>
      <c r="O13" s="194"/>
      <c r="P13" s="194"/>
      <c r="Q13" s="8"/>
      <c r="R13" s="129"/>
      <c r="S13" s="129"/>
      <c r="T13" s="129"/>
      <c r="U13" s="129"/>
      <c r="V13" s="129"/>
      <c r="W13" s="129"/>
      <c r="X13" s="129"/>
      <c r="Y13" s="129"/>
      <c r="Z13" s="129"/>
      <c r="AA13" s="129"/>
      <c r="AB13" s="129"/>
      <c r="AC13" s="42"/>
    </row>
    <row r="14" spans="1:29" ht="16.5" outlineLevel="1" thickTop="1" thickBot="1" x14ac:dyDescent="0.3">
      <c r="A14" s="128"/>
      <c r="B14" s="7"/>
      <c r="C14" s="2" t="s">
        <v>317</v>
      </c>
      <c r="D14" s="194"/>
      <c r="E14" s="19"/>
      <c r="F14" s="29" t="s">
        <v>318</v>
      </c>
      <c r="G14" s="194"/>
      <c r="H14" s="9" t="s">
        <v>7</v>
      </c>
      <c r="I14" s="92">
        <f>+IF('Trial Deposits Analysis'!E14&lt;&gt;0,'Trial Deposits Analysis'!E14,0)</f>
        <v>200000</v>
      </c>
      <c r="J14" s="9" t="s">
        <v>319</v>
      </c>
      <c r="K14" s="41" t="s">
        <v>313</v>
      </c>
      <c r="L14" s="29" t="s">
        <v>320</v>
      </c>
      <c r="M14" s="7"/>
      <c r="N14" s="2" t="s">
        <v>321</v>
      </c>
      <c r="O14" s="194"/>
      <c r="P14" s="96">
        <f>+'eTool Data Analysis'!$C$23</f>
        <v>12000000</v>
      </c>
      <c r="Q14" s="8"/>
      <c r="R14" s="129"/>
      <c r="S14" s="129"/>
      <c r="T14" s="129"/>
      <c r="U14" s="129"/>
      <c r="V14" s="129"/>
      <c r="W14" s="129"/>
      <c r="X14" s="129"/>
      <c r="Y14" s="129"/>
      <c r="Z14" s="129"/>
      <c r="AA14" s="129"/>
      <c r="AB14" s="129"/>
      <c r="AC14" s="42"/>
    </row>
    <row r="15" spans="1:29" ht="6" customHeight="1" outlineLevel="1" thickBot="1" x14ac:dyDescent="0.3">
      <c r="A15" s="128"/>
      <c r="B15" s="7"/>
      <c r="C15" s="194"/>
      <c r="D15" s="194"/>
      <c r="E15" s="19"/>
      <c r="F15" s="194"/>
      <c r="G15" s="194"/>
      <c r="H15" s="9"/>
      <c r="I15" s="194"/>
      <c r="J15" s="9"/>
      <c r="K15" s="194"/>
      <c r="L15" s="8"/>
      <c r="M15" s="7"/>
      <c r="N15" s="194"/>
      <c r="O15" s="194"/>
      <c r="P15" s="194"/>
      <c r="Q15" s="8"/>
      <c r="R15" s="129"/>
      <c r="S15" s="129"/>
      <c r="T15" s="129"/>
      <c r="U15" s="129"/>
      <c r="V15" s="129"/>
      <c r="W15" s="129"/>
      <c r="X15" s="129"/>
      <c r="Y15" s="129"/>
      <c r="Z15" s="129"/>
      <c r="AA15" s="129"/>
      <c r="AB15" s="129"/>
      <c r="AC15" s="42"/>
    </row>
    <row r="16" spans="1:29" ht="16.5" outlineLevel="1" thickTop="1" thickBot="1" x14ac:dyDescent="0.3">
      <c r="A16" s="128"/>
      <c r="B16" s="7"/>
      <c r="C16" s="2" t="s">
        <v>322</v>
      </c>
      <c r="D16" s="194"/>
      <c r="E16" s="19"/>
      <c r="F16" s="29" t="s">
        <v>323</v>
      </c>
      <c r="G16" s="194"/>
      <c r="H16" s="9" t="s">
        <v>324</v>
      </c>
      <c r="I16" s="92">
        <f>+IF('Trial Deposits Analysis'!G15&lt;&gt;0,'Trial Deposits Analysis'!G15,0)</f>
        <v>330</v>
      </c>
      <c r="J16" s="9" t="s">
        <v>325</v>
      </c>
      <c r="K16" s="25" t="s">
        <v>326</v>
      </c>
      <c r="L16" s="29" t="s">
        <v>320</v>
      </c>
      <c r="M16" s="7"/>
      <c r="N16" s="2" t="s">
        <v>327</v>
      </c>
      <c r="O16" s="194"/>
      <c r="P16" s="97">
        <f>+'eTool Data Analysis'!$E$23</f>
        <v>3.4000000000000002E-2</v>
      </c>
      <c r="Q16" s="8"/>
      <c r="R16" s="129"/>
      <c r="S16" s="129"/>
      <c r="T16" s="129"/>
      <c r="U16" s="129"/>
      <c r="V16" s="129"/>
      <c r="W16" s="129"/>
      <c r="X16" s="129"/>
      <c r="Y16" s="129"/>
      <c r="Z16" s="129"/>
      <c r="AA16" s="129"/>
      <c r="AB16" s="129"/>
      <c r="AC16" s="42"/>
    </row>
    <row r="17" spans="1:29" ht="6" customHeight="1" outlineLevel="1" thickBot="1" x14ac:dyDescent="0.3">
      <c r="A17" s="128"/>
      <c r="B17" s="7"/>
      <c r="C17" s="194"/>
      <c r="D17" s="194"/>
      <c r="E17" s="19"/>
      <c r="F17" s="194"/>
      <c r="G17" s="194"/>
      <c r="H17" s="9"/>
      <c r="I17" s="194"/>
      <c r="J17" s="9"/>
      <c r="K17" s="194"/>
      <c r="L17" s="8"/>
      <c r="M17" s="7"/>
      <c r="N17" s="194"/>
      <c r="O17" s="194"/>
      <c r="P17" s="194"/>
      <c r="Q17" s="8"/>
      <c r="R17" s="129"/>
      <c r="S17" s="129"/>
      <c r="T17" s="129"/>
      <c r="U17" s="129"/>
      <c r="V17" s="129"/>
      <c r="W17" s="129"/>
      <c r="X17" s="129"/>
      <c r="Y17" s="129"/>
      <c r="Z17" s="129"/>
      <c r="AA17" s="129"/>
      <c r="AB17" s="129"/>
      <c r="AC17" s="42"/>
    </row>
    <row r="18" spans="1:29" ht="16.5" outlineLevel="1" thickTop="1" thickBot="1" x14ac:dyDescent="0.3">
      <c r="A18" s="128"/>
      <c r="B18" s="7"/>
      <c r="C18" s="2" t="s">
        <v>328</v>
      </c>
      <c r="D18" s="194"/>
      <c r="E18" s="19"/>
      <c r="F18" s="194"/>
      <c r="G18" s="194"/>
      <c r="H18" s="9" t="s">
        <v>329</v>
      </c>
      <c r="I18" s="95">
        <f>I16*P22</f>
        <v>19800</v>
      </c>
      <c r="J18" s="194"/>
      <c r="K18" s="194"/>
      <c r="L18" s="8"/>
      <c r="M18" s="7"/>
      <c r="N18" s="2" t="s">
        <v>330</v>
      </c>
      <c r="O18" s="194"/>
      <c r="P18" s="98">
        <f>+'eTool Data Analysis'!$G$27</f>
        <v>43191</v>
      </c>
      <c r="Q18" s="34" t="s">
        <v>331</v>
      </c>
      <c r="R18" s="129"/>
      <c r="S18" s="129"/>
      <c r="T18" s="129"/>
      <c r="U18" s="129"/>
      <c r="V18" s="129"/>
      <c r="W18" s="129"/>
      <c r="X18" s="129"/>
      <c r="Y18" s="129"/>
      <c r="Z18" s="129"/>
      <c r="AA18" s="129"/>
      <c r="AB18" s="129"/>
      <c r="AC18" s="42"/>
    </row>
    <row r="19" spans="1:29" ht="6" customHeight="1" outlineLevel="1" thickBot="1" x14ac:dyDescent="0.3">
      <c r="A19" s="128"/>
      <c r="B19" s="7"/>
      <c r="C19" s="194"/>
      <c r="D19" s="194"/>
      <c r="E19" s="19"/>
      <c r="F19" s="194"/>
      <c r="G19" s="194"/>
      <c r="H19" s="9"/>
      <c r="I19" s="194"/>
      <c r="J19" s="194"/>
      <c r="K19" s="194"/>
      <c r="L19" s="8"/>
      <c r="M19" s="7"/>
      <c r="N19" s="194"/>
      <c r="O19" s="194"/>
      <c r="P19" s="194"/>
      <c r="Q19" s="35"/>
      <c r="R19" s="129"/>
      <c r="S19" s="129"/>
      <c r="T19" s="129"/>
      <c r="U19" s="129"/>
      <c r="V19" s="129"/>
      <c r="W19" s="129"/>
      <c r="X19" s="129"/>
      <c r="Y19" s="129"/>
      <c r="Z19" s="129"/>
      <c r="AA19" s="129"/>
      <c r="AB19" s="129"/>
      <c r="AC19" s="42"/>
    </row>
    <row r="20" spans="1:29" ht="16.5" outlineLevel="1" thickTop="1" thickBot="1" x14ac:dyDescent="0.3">
      <c r="A20" s="128"/>
      <c r="B20" s="7"/>
      <c r="C20" s="2" t="s">
        <v>332</v>
      </c>
      <c r="D20" s="194"/>
      <c r="E20" s="19"/>
      <c r="F20" s="194"/>
      <c r="G20" s="194"/>
      <c r="H20" s="194"/>
      <c r="I20" s="194"/>
      <c r="J20" s="194"/>
      <c r="K20" s="194"/>
      <c r="L20" s="31" t="s">
        <v>333</v>
      </c>
      <c r="M20" s="7"/>
      <c r="N20" s="2" t="s">
        <v>57</v>
      </c>
      <c r="O20" s="194"/>
      <c r="P20" s="99">
        <f>+'eTool Data Analysis'!$G$23</f>
        <v>35</v>
      </c>
      <c r="Q20" s="36">
        <f>+DATE(YEAR(P18)+P20,MONTH(P18)+1,DAY(P18))</f>
        <v>56005</v>
      </c>
      <c r="R20" s="129"/>
      <c r="S20" s="129"/>
      <c r="T20" s="129"/>
      <c r="U20" s="129"/>
      <c r="V20" s="129"/>
      <c r="W20" s="129"/>
      <c r="X20" s="129"/>
      <c r="Y20" s="129"/>
      <c r="Z20" s="129"/>
      <c r="AA20" s="129"/>
      <c r="AB20" s="129"/>
      <c r="AC20" s="42"/>
    </row>
    <row r="21" spans="1:29" ht="6" customHeight="1" outlineLevel="1" thickBot="1" x14ac:dyDescent="0.3">
      <c r="A21" s="128"/>
      <c r="B21" s="7"/>
      <c r="C21" s="194"/>
      <c r="D21" s="194"/>
      <c r="E21" s="19"/>
      <c r="F21" s="194"/>
      <c r="G21" s="194"/>
      <c r="H21" s="194"/>
      <c r="I21" s="194"/>
      <c r="J21" s="194"/>
      <c r="K21" s="194"/>
      <c r="L21" s="8"/>
      <c r="M21" s="7"/>
      <c r="N21" s="194"/>
      <c r="O21" s="194"/>
      <c r="P21" s="194"/>
      <c r="Q21" s="8"/>
      <c r="R21" s="129"/>
      <c r="S21" s="129"/>
      <c r="T21" s="129"/>
      <c r="U21" s="129"/>
      <c r="V21" s="129"/>
      <c r="W21" s="129"/>
      <c r="X21" s="129"/>
      <c r="Y21" s="129"/>
      <c r="Z21" s="129"/>
      <c r="AA21" s="129"/>
      <c r="AB21" s="129"/>
      <c r="AC21" s="42"/>
    </row>
    <row r="22" spans="1:29" ht="16.5" outlineLevel="1" thickTop="1" thickBot="1" x14ac:dyDescent="0.3">
      <c r="A22" s="128"/>
      <c r="B22" s="7"/>
      <c r="C22" s="2" t="s">
        <v>334</v>
      </c>
      <c r="D22" s="194"/>
      <c r="E22" s="19"/>
      <c r="F22" s="40"/>
      <c r="G22" s="40" t="s">
        <v>335</v>
      </c>
      <c r="H22" s="194"/>
      <c r="I22" s="13" t="s">
        <v>336</v>
      </c>
      <c r="J22" s="13" t="s">
        <v>337</v>
      </c>
      <c r="K22" s="39" t="s">
        <v>338</v>
      </c>
      <c r="L22" s="8"/>
      <c r="M22" s="7"/>
      <c r="N22" s="2" t="s">
        <v>339</v>
      </c>
      <c r="O22" s="194"/>
      <c r="P22" s="99">
        <f>+'Trial Deposits Analysis'!C35</f>
        <v>60</v>
      </c>
      <c r="Q22" s="8"/>
      <c r="R22" s="129"/>
      <c r="S22" s="129"/>
      <c r="T22" s="129"/>
      <c r="U22" s="129"/>
      <c r="V22" s="129"/>
      <c r="W22" s="129"/>
      <c r="X22" s="129"/>
      <c r="Y22" s="129"/>
      <c r="Z22" s="129"/>
      <c r="AA22" s="129"/>
      <c r="AB22" s="129"/>
      <c r="AC22" s="42"/>
    </row>
    <row r="23" spans="1:29" ht="6" customHeight="1" outlineLevel="1" thickBot="1" x14ac:dyDescent="0.3">
      <c r="A23" s="128"/>
      <c r="B23" s="7"/>
      <c r="C23" s="194"/>
      <c r="D23" s="194"/>
      <c r="E23" s="19"/>
      <c r="F23" s="194"/>
      <c r="G23" s="194"/>
      <c r="H23" s="194"/>
      <c r="I23" s="194"/>
      <c r="J23" s="194"/>
      <c r="K23" s="194"/>
      <c r="L23" s="8"/>
      <c r="M23" s="7"/>
      <c r="N23" s="194"/>
      <c r="O23" s="194"/>
      <c r="P23" s="194"/>
      <c r="Q23" s="8"/>
      <c r="R23" s="129"/>
      <c r="S23" s="129"/>
      <c r="T23" s="129"/>
      <c r="U23" s="129"/>
      <c r="V23" s="129"/>
      <c r="W23" s="129"/>
      <c r="X23" s="129"/>
      <c r="Y23" s="129"/>
      <c r="Z23" s="129"/>
      <c r="AA23" s="129"/>
      <c r="AB23" s="129"/>
      <c r="AC23" s="42"/>
    </row>
    <row r="24" spans="1:29" ht="16.5" outlineLevel="1" thickTop="1" thickBot="1" x14ac:dyDescent="0.3">
      <c r="A24" s="128"/>
      <c r="B24" s="7"/>
      <c r="C24" s="2" t="s">
        <v>340</v>
      </c>
      <c r="D24" s="194"/>
      <c r="E24" s="19"/>
      <c r="F24" s="194"/>
      <c r="G24" s="29" t="s">
        <v>341</v>
      </c>
      <c r="H24" s="15" t="s">
        <v>8</v>
      </c>
      <c r="I24" s="93">
        <f>+'Trial Deposits Analysis'!C11</f>
        <v>0.02</v>
      </c>
      <c r="J24" s="93">
        <f>+'Trial Deposits Analysis'!E11</f>
        <v>0.02</v>
      </c>
      <c r="K24" s="94">
        <f>+'Trial Deposits Analysis'!G11</f>
        <v>1</v>
      </c>
      <c r="L24" s="32">
        <v>2</v>
      </c>
      <c r="M24" s="7"/>
      <c r="N24" s="2" t="s">
        <v>342</v>
      </c>
      <c r="O24" s="194"/>
      <c r="P24" s="37">
        <f>+P14/P22</f>
        <v>200000</v>
      </c>
      <c r="Q24" s="8"/>
      <c r="R24" s="129"/>
      <c r="S24" s="129"/>
      <c r="T24" s="129"/>
      <c r="U24" s="129"/>
      <c r="V24" s="129"/>
      <c r="W24" s="129"/>
      <c r="X24" s="129"/>
      <c r="Y24" s="129"/>
      <c r="Z24" s="129"/>
      <c r="AA24" s="129"/>
      <c r="AB24" s="129"/>
      <c r="AC24" s="42"/>
    </row>
    <row r="25" spans="1:29" ht="6" customHeight="1" outlineLevel="1" thickBot="1" x14ac:dyDescent="0.3">
      <c r="A25" s="128"/>
      <c r="B25" s="7"/>
      <c r="C25" s="194"/>
      <c r="D25" s="194"/>
      <c r="E25" s="19"/>
      <c r="F25" s="194"/>
      <c r="G25" s="194"/>
      <c r="H25" s="15"/>
      <c r="I25" s="13"/>
      <c r="J25" s="13"/>
      <c r="K25" s="13"/>
      <c r="L25" s="8"/>
      <c r="M25" s="7"/>
      <c r="N25" s="194"/>
      <c r="O25" s="194"/>
      <c r="P25" s="194"/>
      <c r="Q25" s="8"/>
      <c r="R25" s="129"/>
      <c r="S25" s="129"/>
      <c r="T25" s="129"/>
      <c r="U25" s="129"/>
      <c r="V25" s="129"/>
      <c r="W25" s="129"/>
      <c r="X25" s="129"/>
      <c r="Y25" s="129"/>
      <c r="Z25" s="129"/>
      <c r="AA25" s="129"/>
      <c r="AB25" s="129"/>
      <c r="AC25" s="42"/>
    </row>
    <row r="26" spans="1:29" s="266" customFormat="1" ht="16.5" outlineLevel="1" thickTop="1" thickBot="1" x14ac:dyDescent="0.3">
      <c r="A26" s="212"/>
      <c r="B26" s="235"/>
      <c r="C26" s="236" t="s">
        <v>343</v>
      </c>
      <c r="D26" s="213"/>
      <c r="E26" s="237"/>
      <c r="F26" s="213"/>
      <c r="G26" s="238" t="s">
        <v>344</v>
      </c>
      <c r="H26" s="239" t="s">
        <v>345</v>
      </c>
      <c r="I26" s="240">
        <f>+'eTool Data Engine'!G38</f>
        <v>0.02</v>
      </c>
      <c r="J26" s="240">
        <f ca="1">+'eTool Data Engine'!F40</f>
        <v>0.02</v>
      </c>
      <c r="K26" s="241">
        <f ca="1">+'eTool Data Engine'!F39</f>
        <v>1</v>
      </c>
      <c r="L26" s="242">
        <v>3</v>
      </c>
      <c r="M26" s="235"/>
      <c r="N26" s="243" t="s">
        <v>346</v>
      </c>
      <c r="O26" s="213"/>
      <c r="P26" s="244"/>
      <c r="Q26" s="245" t="s">
        <v>347</v>
      </c>
      <c r="R26" s="129"/>
      <c r="S26" s="129"/>
      <c r="T26" s="129"/>
      <c r="U26" s="129"/>
      <c r="V26" s="129"/>
      <c r="W26" s="129"/>
      <c r="X26" s="129"/>
      <c r="Y26" s="129"/>
      <c r="Z26" s="129"/>
      <c r="AA26" s="129"/>
      <c r="AB26" s="129"/>
      <c r="AC26" s="129"/>
    </row>
    <row r="27" spans="1:29" s="266" customFormat="1" ht="6" customHeight="1" outlineLevel="1" thickBot="1" x14ac:dyDescent="0.3">
      <c r="A27" s="212"/>
      <c r="B27" s="235"/>
      <c r="C27" s="213"/>
      <c r="D27" s="213"/>
      <c r="E27" s="237"/>
      <c r="F27" s="213"/>
      <c r="G27" s="213"/>
      <c r="H27" s="239"/>
      <c r="I27" s="246"/>
      <c r="J27" s="246"/>
      <c r="K27" s="246"/>
      <c r="L27" s="242"/>
      <c r="M27" s="235"/>
      <c r="N27" s="213"/>
      <c r="O27" s="213"/>
      <c r="P27" s="213"/>
      <c r="Q27" s="219"/>
      <c r="R27" s="129"/>
      <c r="S27" s="129"/>
      <c r="T27" s="129"/>
      <c r="U27" s="129"/>
      <c r="V27" s="129"/>
      <c r="W27" s="129"/>
      <c r="X27" s="129"/>
      <c r="Y27" s="129"/>
      <c r="Z27" s="129"/>
      <c r="AA27" s="129"/>
      <c r="AB27" s="129"/>
      <c r="AC27" s="129"/>
    </row>
    <row r="28" spans="1:29" s="266" customFormat="1" ht="16.5" outlineLevel="1" thickTop="1" thickBot="1" x14ac:dyDescent="0.3">
      <c r="A28" s="212"/>
      <c r="B28" s="235"/>
      <c r="C28" s="236" t="s">
        <v>348</v>
      </c>
      <c r="D28" s="213"/>
      <c r="E28" s="237"/>
      <c r="F28" s="213"/>
      <c r="G28" s="238" t="s">
        <v>349</v>
      </c>
      <c r="H28" s="239" t="s">
        <v>350</v>
      </c>
      <c r="I28" s="93">
        <f>+'eTool Data Engine'!F27</f>
        <v>0.01</v>
      </c>
      <c r="J28" s="93">
        <f ca="1">+'eTool Data Engine'!F29</f>
        <v>1.4999999999999999E-2</v>
      </c>
      <c r="K28" s="94">
        <f ca="1">+'eTool Data Engine'!F28</f>
        <v>3</v>
      </c>
      <c r="L28" s="242">
        <v>2</v>
      </c>
      <c r="M28" s="235"/>
      <c r="N28" s="236" t="s">
        <v>351</v>
      </c>
      <c r="O28" s="213"/>
      <c r="P28" s="247">
        <f ca="1">+SUM(H73:Q73)</f>
        <v>-333224.9752480312</v>
      </c>
      <c r="Q28" s="248">
        <f ca="1">+P28/10</f>
        <v>-33322.497524803119</v>
      </c>
      <c r="R28" s="129"/>
      <c r="S28" s="129"/>
      <c r="T28" s="129"/>
      <c r="U28" s="129"/>
      <c r="V28" s="129"/>
      <c r="W28" s="129"/>
      <c r="X28" s="129"/>
      <c r="Y28" s="129"/>
      <c r="Z28" s="129"/>
      <c r="AA28" s="129"/>
      <c r="AB28" s="129"/>
      <c r="AC28" s="129"/>
    </row>
    <row r="29" spans="1:29" s="266" customFormat="1" ht="6" customHeight="1" outlineLevel="1" thickBot="1" x14ac:dyDescent="0.3">
      <c r="A29" s="212"/>
      <c r="B29" s="235"/>
      <c r="C29" s="213"/>
      <c r="D29" s="213"/>
      <c r="E29" s="237"/>
      <c r="F29" s="213"/>
      <c r="G29" s="213"/>
      <c r="H29" s="213"/>
      <c r="I29" s="213"/>
      <c r="J29" s="213"/>
      <c r="K29" s="213"/>
      <c r="L29" s="219"/>
      <c r="M29" s="235"/>
      <c r="N29" s="213"/>
      <c r="O29" s="213"/>
      <c r="P29" s="213"/>
      <c r="Q29" s="219"/>
      <c r="R29" s="129"/>
      <c r="S29" s="129"/>
      <c r="T29" s="129"/>
      <c r="U29" s="129"/>
      <c r="V29" s="129"/>
      <c r="W29" s="129"/>
      <c r="X29" s="129"/>
      <c r="Y29" s="129"/>
      <c r="Z29" s="129"/>
      <c r="AA29" s="129"/>
      <c r="AB29" s="129"/>
      <c r="AC29" s="129"/>
    </row>
    <row r="30" spans="1:29" s="266" customFormat="1" ht="16.5" outlineLevel="1" thickBot="1" x14ac:dyDescent="0.3">
      <c r="A30" s="212"/>
      <c r="B30" s="235"/>
      <c r="C30" s="236" t="s">
        <v>303</v>
      </c>
      <c r="D30" s="213"/>
      <c r="E30" s="237"/>
      <c r="F30" s="213"/>
      <c r="G30" s="249" t="s">
        <v>253</v>
      </c>
      <c r="H30" s="250" t="str">
        <f ca="1">+IF(AND(D106="FAIL",D107="Fail",D120="Fail"),"VIOLATION EXISTS",IF(AND(D106="PASS",D107="Fail",D120="FAIL"),"VIOLATION EXISTS",IF(AND(D106="Fail",D107="Fail",D120="PASS"),"VIOLATION EXISTS",IF(AND(D106="Fail",D107="PASS",D120="Fail"),"VIOLATION EXISTS","REQUIREMENTS MET"))))</f>
        <v>REQUIREMENTS MET</v>
      </c>
      <c r="I30" s="251" t="s">
        <v>352</v>
      </c>
      <c r="J30" s="252" t="s">
        <v>353</v>
      </c>
      <c r="K30" s="251" t="s">
        <v>354</v>
      </c>
      <c r="L30" s="253"/>
      <c r="M30" s="235"/>
      <c r="N30" s="236" t="s">
        <v>355</v>
      </c>
      <c r="O30" s="213"/>
      <c r="P30" s="247">
        <f ca="1">+SUM(H73:AA73)</f>
        <v>-1004776.3672390626</v>
      </c>
      <c r="Q30" s="267">
        <f>-+'eTool Data'!F9</f>
        <v>-50151</v>
      </c>
      <c r="R30" s="129"/>
      <c r="S30" s="129"/>
      <c r="T30" s="129"/>
      <c r="U30" s="129"/>
      <c r="V30" s="129"/>
      <c r="W30" s="129"/>
      <c r="X30" s="129"/>
      <c r="Y30" s="129"/>
      <c r="Z30" s="129"/>
      <c r="AA30" s="129"/>
      <c r="AB30" s="129"/>
      <c r="AC30" s="129"/>
    </row>
    <row r="31" spans="1:29" ht="42.75" customHeight="1" outlineLevel="1" thickBot="1" x14ac:dyDescent="0.3">
      <c r="A31" s="128"/>
      <c r="B31" s="7"/>
      <c r="C31" s="194"/>
      <c r="D31" s="194"/>
      <c r="E31" s="1155" t="s">
        <v>356</v>
      </c>
      <c r="F31" s="1155"/>
      <c r="G31" s="1155"/>
      <c r="H31" s="194"/>
      <c r="I31" s="254" t="s">
        <v>357</v>
      </c>
      <c r="J31" s="466" t="s">
        <v>358</v>
      </c>
      <c r="K31" s="255" t="s">
        <v>359</v>
      </c>
      <c r="L31" s="8"/>
      <c r="M31" s="10"/>
      <c r="N31" s="11"/>
      <c r="O31" s="11"/>
      <c r="P31" s="11"/>
      <c r="Q31" s="12"/>
      <c r="R31" s="129"/>
      <c r="S31" s="129"/>
      <c r="T31" s="129"/>
      <c r="U31" s="129"/>
      <c r="V31" s="129"/>
      <c r="W31" s="129"/>
      <c r="X31" s="129"/>
      <c r="Y31" s="129"/>
      <c r="Z31" s="129"/>
      <c r="AA31" s="129"/>
      <c r="AB31" s="129"/>
      <c r="AC31" s="42"/>
    </row>
    <row r="32" spans="1:29" ht="15.75" outlineLevel="2" thickBot="1" x14ac:dyDescent="0.3">
      <c r="A32" s="128"/>
      <c r="B32" s="7"/>
      <c r="C32" s="2" t="s">
        <v>360</v>
      </c>
      <c r="D32" s="194"/>
      <c r="E32" s="1155"/>
      <c r="F32" s="1155"/>
      <c r="G32" s="1155"/>
      <c r="H32" s="194"/>
      <c r="I32" s="256">
        <v>0</v>
      </c>
      <c r="J32" s="256">
        <v>0</v>
      </c>
      <c r="K32" s="257">
        <v>0</v>
      </c>
      <c r="L32" s="8"/>
      <c r="M32" s="129"/>
      <c r="N32" s="129"/>
      <c r="O32" s="129"/>
      <c r="P32" s="129"/>
      <c r="Q32" s="129"/>
      <c r="R32" s="129"/>
      <c r="S32" s="129"/>
      <c r="T32" s="129"/>
      <c r="U32" s="129"/>
      <c r="V32" s="129"/>
      <c r="W32" s="129"/>
      <c r="X32" s="129"/>
      <c r="Y32" s="129"/>
      <c r="Z32" s="129"/>
      <c r="AA32" s="129"/>
      <c r="AB32" s="129"/>
      <c r="AC32" s="42"/>
    </row>
    <row r="33" spans="1:29" ht="6" customHeight="1" outlineLevel="2" thickBot="1" x14ac:dyDescent="0.3">
      <c r="A33" s="128"/>
      <c r="B33" s="7"/>
      <c r="C33" s="194"/>
      <c r="D33" s="194"/>
      <c r="E33" s="19"/>
      <c r="F33" s="194"/>
      <c r="G33" s="194"/>
      <c r="H33" s="194"/>
      <c r="I33" s="194"/>
      <c r="J33" s="194"/>
      <c r="K33" s="20"/>
      <c r="L33" s="8"/>
      <c r="M33" s="129"/>
      <c r="N33" s="129"/>
      <c r="O33" s="129"/>
      <c r="P33" s="129"/>
      <c r="Q33" s="129"/>
      <c r="R33" s="129"/>
      <c r="S33" s="129"/>
      <c r="T33" s="129"/>
      <c r="U33" s="129"/>
      <c r="V33" s="129"/>
      <c r="W33" s="129"/>
      <c r="X33" s="129"/>
      <c r="Y33" s="129"/>
      <c r="Z33" s="129"/>
      <c r="AA33" s="129"/>
      <c r="AB33" s="129"/>
      <c r="AC33" s="42"/>
    </row>
    <row r="34" spans="1:29" ht="16.5" outlineLevel="2" thickTop="1" thickBot="1" x14ac:dyDescent="0.3">
      <c r="A34" s="128"/>
      <c r="B34" s="7"/>
      <c r="C34" s="2" t="s">
        <v>361</v>
      </c>
      <c r="D34" s="194"/>
      <c r="E34" s="19"/>
      <c r="F34" s="194"/>
      <c r="G34" s="194"/>
      <c r="H34" s="194" t="s">
        <v>362</v>
      </c>
      <c r="I34" s="1156"/>
      <c r="J34" s="1157"/>
      <c r="K34" s="20"/>
      <c r="L34" s="8"/>
      <c r="M34" s="129"/>
      <c r="N34" s="129"/>
      <c r="O34" s="129"/>
      <c r="P34" s="129"/>
      <c r="Q34" s="129"/>
      <c r="R34" s="129"/>
      <c r="S34" s="129"/>
      <c r="T34" s="129"/>
      <c r="U34" s="129"/>
      <c r="V34" s="129"/>
      <c r="W34" s="129"/>
      <c r="X34" s="129"/>
      <c r="Y34" s="129"/>
      <c r="Z34" s="129"/>
      <c r="AA34" s="129"/>
      <c r="AB34" s="129"/>
      <c r="AC34" s="42"/>
    </row>
    <row r="35" spans="1:29" ht="6" customHeight="1" outlineLevel="2" x14ac:dyDescent="0.25">
      <c r="A35" s="128"/>
      <c r="B35" s="7"/>
      <c r="C35" s="194"/>
      <c r="D35" s="194"/>
      <c r="E35" s="19"/>
      <c r="F35" s="194"/>
      <c r="G35" s="194"/>
      <c r="H35" s="194"/>
      <c r="I35" s="1158"/>
      <c r="J35" s="1159"/>
      <c r="K35" s="20"/>
      <c r="L35" s="8"/>
      <c r="M35" s="129"/>
      <c r="N35" s="129"/>
      <c r="O35" s="129"/>
      <c r="P35" s="129"/>
      <c r="Q35" s="129"/>
      <c r="R35" s="129"/>
      <c r="S35" s="129"/>
      <c r="T35" s="129"/>
      <c r="U35" s="129"/>
      <c r="V35" s="129"/>
      <c r="W35" s="129"/>
      <c r="X35" s="129"/>
      <c r="Y35" s="129"/>
      <c r="Z35" s="129"/>
      <c r="AA35" s="129"/>
      <c r="AB35" s="129"/>
      <c r="AC35" s="42"/>
    </row>
    <row r="36" spans="1:29" outlineLevel="2" x14ac:dyDescent="0.25">
      <c r="A36" s="128"/>
      <c r="B36" s="7"/>
      <c r="C36" s="194"/>
      <c r="D36" s="194"/>
      <c r="E36" s="19"/>
      <c r="F36" s="194"/>
      <c r="G36" s="194"/>
      <c r="H36" s="194"/>
      <c r="I36" s="1158"/>
      <c r="J36" s="1159"/>
      <c r="K36" s="20"/>
      <c r="L36" s="8"/>
      <c r="M36" s="129"/>
      <c r="N36" s="129"/>
      <c r="O36" s="129"/>
      <c r="P36" s="129"/>
      <c r="Q36" s="129"/>
      <c r="R36" s="129"/>
      <c r="S36" s="129"/>
      <c r="T36" s="129"/>
      <c r="U36" s="129"/>
      <c r="V36" s="129"/>
      <c r="W36" s="129"/>
      <c r="X36" s="129"/>
      <c r="Y36" s="129"/>
      <c r="Z36" s="129"/>
      <c r="AA36" s="129"/>
      <c r="AB36" s="129"/>
      <c r="AC36" s="42"/>
    </row>
    <row r="37" spans="1:29" outlineLevel="2" x14ac:dyDescent="0.25">
      <c r="A37" s="128"/>
      <c r="B37" s="7"/>
      <c r="C37" s="194"/>
      <c r="D37" s="194"/>
      <c r="E37" s="19"/>
      <c r="F37" s="194"/>
      <c r="G37" s="194"/>
      <c r="H37" s="194"/>
      <c r="I37" s="1160"/>
      <c r="J37" s="1161"/>
      <c r="K37" s="20"/>
      <c r="L37" s="8"/>
      <c r="M37" s="129"/>
      <c r="N37" s="129"/>
      <c r="O37" s="129"/>
      <c r="P37" s="129"/>
      <c r="Q37" s="129"/>
      <c r="R37" s="129"/>
      <c r="S37" s="129"/>
      <c r="T37" s="129"/>
      <c r="U37" s="129"/>
      <c r="V37" s="129"/>
      <c r="W37" s="129"/>
      <c r="X37" s="129"/>
      <c r="Y37" s="129"/>
      <c r="Z37" s="129"/>
      <c r="AA37" s="129"/>
      <c r="AB37" s="129"/>
      <c r="AC37" s="42"/>
    </row>
    <row r="38" spans="1:29" outlineLevel="2" x14ac:dyDescent="0.25">
      <c r="A38" s="128"/>
      <c r="B38" s="7"/>
      <c r="C38" s="194"/>
      <c r="D38" s="194"/>
      <c r="E38" s="19"/>
      <c r="F38" s="194"/>
      <c r="G38" s="194"/>
      <c r="H38" s="194"/>
      <c r="I38" s="194"/>
      <c r="J38" s="194"/>
      <c r="K38" s="20"/>
      <c r="L38" s="8"/>
      <c r="M38" s="129"/>
      <c r="N38" s="129"/>
      <c r="O38" s="129"/>
      <c r="P38" s="129"/>
      <c r="Q38" s="129"/>
      <c r="R38" s="129"/>
      <c r="S38" s="129"/>
      <c r="T38" s="129"/>
      <c r="U38" s="129"/>
      <c r="V38" s="129"/>
      <c r="W38" s="129"/>
      <c r="X38" s="129"/>
      <c r="Y38" s="129"/>
      <c r="Z38" s="129"/>
      <c r="AA38" s="129"/>
      <c r="AB38" s="129"/>
      <c r="AC38" s="42"/>
    </row>
    <row r="39" spans="1:29" outlineLevel="2" x14ac:dyDescent="0.25">
      <c r="A39" s="128"/>
      <c r="B39" s="7"/>
      <c r="C39" s="194"/>
      <c r="D39" s="194"/>
      <c r="E39" s="19"/>
      <c r="F39" s="194"/>
      <c r="G39" s="194"/>
      <c r="H39" s="194"/>
      <c r="I39" s="194"/>
      <c r="J39" s="194"/>
      <c r="K39" s="20"/>
      <c r="L39" s="8"/>
      <c r="M39" s="129"/>
      <c r="N39" s="129"/>
      <c r="O39" s="129"/>
      <c r="P39" s="129"/>
      <c r="Q39" s="129"/>
      <c r="R39" s="129"/>
      <c r="S39" s="129"/>
      <c r="T39" s="129"/>
      <c r="U39" s="129"/>
      <c r="V39" s="129"/>
      <c r="W39" s="129"/>
      <c r="X39" s="129"/>
      <c r="Y39" s="129"/>
      <c r="Z39" s="129"/>
      <c r="AA39" s="129"/>
      <c r="AB39" s="129"/>
      <c r="AC39" s="42"/>
    </row>
    <row r="40" spans="1:29" outlineLevel="2" x14ac:dyDescent="0.25">
      <c r="A40" s="128"/>
      <c r="B40" s="7"/>
      <c r="C40" s="194"/>
      <c r="D40" s="194"/>
      <c r="E40" s="19"/>
      <c r="F40" s="16"/>
      <c r="G40" s="17" t="s">
        <v>363</v>
      </c>
      <c r="H40" s="18"/>
      <c r="I40" s="18"/>
      <c r="J40" s="18"/>
      <c r="K40" s="20"/>
      <c r="L40" s="8"/>
      <c r="M40" s="129"/>
      <c r="N40" s="129"/>
      <c r="O40" s="129"/>
      <c r="P40" s="129"/>
      <c r="Q40" s="129"/>
      <c r="R40" s="129"/>
      <c r="S40" s="129"/>
      <c r="T40" s="129"/>
      <c r="U40" s="129"/>
      <c r="V40" s="129"/>
      <c r="W40" s="129"/>
      <c r="X40" s="129"/>
      <c r="Y40" s="129"/>
      <c r="Z40" s="129"/>
      <c r="AA40" s="129"/>
      <c r="AB40" s="129"/>
      <c r="AC40" s="42"/>
    </row>
    <row r="41" spans="1:29" outlineLevel="2" x14ac:dyDescent="0.25">
      <c r="A41" s="128"/>
      <c r="B41" s="7"/>
      <c r="C41" s="194"/>
      <c r="D41" s="194"/>
      <c r="E41" s="19"/>
      <c r="F41" s="19"/>
      <c r="G41" s="194" t="s">
        <v>364</v>
      </c>
      <c r="H41" s="194"/>
      <c r="I41" s="194"/>
      <c r="J41" s="194"/>
      <c r="K41" s="20"/>
      <c r="L41" s="8"/>
      <c r="M41" s="129"/>
      <c r="N41" s="129"/>
      <c r="O41" s="129"/>
      <c r="P41" s="129"/>
      <c r="Q41" s="129"/>
      <c r="R41" s="129"/>
      <c r="S41" s="129"/>
      <c r="T41" s="129"/>
      <c r="U41" s="129"/>
      <c r="V41" s="129"/>
      <c r="W41" s="129"/>
      <c r="X41" s="129"/>
      <c r="Y41" s="129"/>
      <c r="Z41" s="129"/>
      <c r="AA41" s="129"/>
      <c r="AB41" s="129"/>
      <c r="AC41" s="42"/>
    </row>
    <row r="42" spans="1:29" outlineLevel="2" x14ac:dyDescent="0.25">
      <c r="A42" s="128"/>
      <c r="B42" s="7"/>
      <c r="C42" s="194"/>
      <c r="D42" s="194"/>
      <c r="E42" s="19"/>
      <c r="F42" s="19"/>
      <c r="G42" s="194" t="s">
        <v>365</v>
      </c>
      <c r="H42" s="194"/>
      <c r="I42" s="194"/>
      <c r="J42" s="194"/>
      <c r="K42" s="20"/>
      <c r="L42" s="8"/>
      <c r="M42" s="129"/>
      <c r="N42" s="129"/>
      <c r="O42" s="129"/>
      <c r="P42" s="129"/>
      <c r="Q42" s="129"/>
      <c r="R42" s="129"/>
      <c r="S42" s="129"/>
      <c r="T42" s="129"/>
      <c r="U42" s="129"/>
      <c r="V42" s="129"/>
      <c r="W42" s="129"/>
      <c r="X42" s="129"/>
      <c r="Y42" s="129"/>
      <c r="Z42" s="129"/>
      <c r="AA42" s="129"/>
      <c r="AB42" s="129"/>
      <c r="AC42" s="42"/>
    </row>
    <row r="43" spans="1:29" outlineLevel="2" x14ac:dyDescent="0.25">
      <c r="A43" s="128"/>
      <c r="B43" s="7"/>
      <c r="C43" s="194"/>
      <c r="D43" s="194"/>
      <c r="E43" s="19"/>
      <c r="F43" s="19"/>
      <c r="G43" s="194" t="s">
        <v>366</v>
      </c>
      <c r="H43" s="194"/>
      <c r="I43" s="194"/>
      <c r="J43" s="194"/>
      <c r="K43" s="20"/>
      <c r="L43" s="8"/>
      <c r="M43" s="129"/>
      <c r="N43" s="129"/>
      <c r="O43" s="129"/>
      <c r="P43" s="129"/>
      <c r="Q43" s="129"/>
      <c r="R43" s="129"/>
      <c r="S43" s="129"/>
      <c r="T43" s="129"/>
      <c r="U43" s="129"/>
      <c r="V43" s="129"/>
      <c r="W43" s="129"/>
      <c r="X43" s="129"/>
      <c r="Y43" s="129"/>
      <c r="Z43" s="129"/>
      <c r="AA43" s="129"/>
      <c r="AB43" s="129"/>
      <c r="AC43" s="42"/>
    </row>
    <row r="44" spans="1:29" outlineLevel="2" x14ac:dyDescent="0.25">
      <c r="A44" s="128"/>
      <c r="B44" s="7"/>
      <c r="C44" s="194"/>
      <c r="D44" s="194"/>
      <c r="E44" s="19"/>
      <c r="F44" s="19"/>
      <c r="G44" s="194"/>
      <c r="H44" s="194"/>
      <c r="I44" s="194"/>
      <c r="J44" s="194"/>
      <c r="K44" s="20"/>
      <c r="L44" s="8"/>
      <c r="M44" s="129"/>
      <c r="N44" s="129"/>
      <c r="O44" s="129"/>
      <c r="P44" s="129"/>
      <c r="Q44" s="129"/>
      <c r="R44" s="129"/>
      <c r="S44" s="129"/>
      <c r="T44" s="129"/>
      <c r="U44" s="129"/>
      <c r="V44" s="129"/>
      <c r="W44" s="129"/>
      <c r="X44" s="129"/>
      <c r="Y44" s="129"/>
      <c r="Z44" s="129"/>
      <c r="AA44" s="129"/>
      <c r="AB44" s="129"/>
      <c r="AC44" s="42"/>
    </row>
    <row r="45" spans="1:29" outlineLevel="2" x14ac:dyDescent="0.25">
      <c r="A45" s="128"/>
      <c r="B45" s="7"/>
      <c r="C45" s="194"/>
      <c r="D45" s="194"/>
      <c r="E45" s="19"/>
      <c r="F45" s="19"/>
      <c r="G45" s="194" t="s">
        <v>367</v>
      </c>
      <c r="H45" s="194"/>
      <c r="I45" s="194"/>
      <c r="J45" s="194"/>
      <c r="K45" s="20"/>
      <c r="L45" s="8"/>
      <c r="M45" s="129"/>
      <c r="N45" s="129"/>
      <c r="O45" s="129"/>
      <c r="P45" s="129"/>
      <c r="Q45" s="129"/>
      <c r="R45" s="129"/>
      <c r="S45" s="129"/>
      <c r="T45" s="129"/>
      <c r="U45" s="129"/>
      <c r="V45" s="129"/>
      <c r="W45" s="129"/>
      <c r="X45" s="129"/>
      <c r="Y45" s="129"/>
      <c r="Z45" s="129"/>
      <c r="AA45" s="129"/>
      <c r="AB45" s="129"/>
      <c r="AC45" s="42"/>
    </row>
    <row r="46" spans="1:29" outlineLevel="2" x14ac:dyDescent="0.25">
      <c r="A46" s="128"/>
      <c r="B46" s="7"/>
      <c r="C46" s="194"/>
      <c r="D46" s="194"/>
      <c r="E46" s="19"/>
      <c r="F46" s="19"/>
      <c r="G46" s="194" t="s">
        <v>368</v>
      </c>
      <c r="H46" s="194"/>
      <c r="I46" s="194"/>
      <c r="J46" s="194"/>
      <c r="K46" s="20"/>
      <c r="L46" s="8"/>
      <c r="M46" s="129"/>
      <c r="N46" s="129"/>
      <c r="O46" s="129"/>
      <c r="P46" s="129"/>
      <c r="Q46" s="129"/>
      <c r="R46" s="129"/>
      <c r="S46" s="129"/>
      <c r="T46" s="129"/>
      <c r="U46" s="129"/>
      <c r="V46" s="129"/>
      <c r="W46" s="129"/>
      <c r="X46" s="129"/>
      <c r="Y46" s="129"/>
      <c r="Z46" s="129"/>
      <c r="AA46" s="129"/>
      <c r="AB46" s="129"/>
      <c r="AC46" s="42"/>
    </row>
    <row r="47" spans="1:29" outlineLevel="2" x14ac:dyDescent="0.25">
      <c r="A47" s="128"/>
      <c r="B47" s="7"/>
      <c r="C47" s="194"/>
      <c r="D47" s="194"/>
      <c r="E47" s="19"/>
      <c r="F47" s="19"/>
      <c r="G47" s="194"/>
      <c r="H47" s="194"/>
      <c r="I47" s="194"/>
      <c r="J47" s="194"/>
      <c r="K47" s="20"/>
      <c r="L47" s="8"/>
      <c r="M47" s="129"/>
      <c r="N47" s="129"/>
      <c r="O47" s="129"/>
      <c r="P47" s="129"/>
      <c r="Q47" s="129"/>
      <c r="R47" s="129"/>
      <c r="S47" s="129"/>
      <c r="T47" s="129"/>
      <c r="U47" s="129"/>
      <c r="V47" s="129"/>
      <c r="W47" s="129"/>
      <c r="X47" s="129"/>
      <c r="Y47" s="129"/>
      <c r="Z47" s="129"/>
      <c r="AA47" s="129"/>
      <c r="AB47" s="129"/>
      <c r="AC47" s="42"/>
    </row>
    <row r="48" spans="1:29" outlineLevel="2" x14ac:dyDescent="0.25">
      <c r="A48" s="128"/>
      <c r="B48" s="7"/>
      <c r="C48" s="194"/>
      <c r="D48" s="194"/>
      <c r="E48" s="19"/>
      <c r="F48" s="19"/>
      <c r="G48" s="194" t="s">
        <v>369</v>
      </c>
      <c r="H48" s="194"/>
      <c r="I48" s="194"/>
      <c r="J48" s="194"/>
      <c r="K48" s="20"/>
      <c r="L48" s="8"/>
      <c r="M48" s="129"/>
      <c r="N48" s="129"/>
      <c r="O48" s="129"/>
      <c r="P48" s="129"/>
      <c r="Q48" s="129"/>
      <c r="R48" s="129"/>
      <c r="S48" s="129"/>
      <c r="T48" s="129"/>
      <c r="U48" s="129"/>
      <c r="V48" s="129"/>
      <c r="W48" s="129"/>
      <c r="X48" s="129"/>
      <c r="Y48" s="129"/>
      <c r="Z48" s="129"/>
      <c r="AA48" s="129"/>
      <c r="AB48" s="129"/>
      <c r="AC48" s="42"/>
    </row>
    <row r="49" spans="1:29" outlineLevel="2" x14ac:dyDescent="0.25">
      <c r="A49" s="128"/>
      <c r="B49" s="7"/>
      <c r="C49" s="194"/>
      <c r="D49" s="194"/>
      <c r="E49" s="19"/>
      <c r="F49" s="19"/>
      <c r="G49" s="194" t="s">
        <v>370</v>
      </c>
      <c r="H49" s="194"/>
      <c r="I49" s="194"/>
      <c r="J49" s="194"/>
      <c r="K49" s="20"/>
      <c r="L49" s="8"/>
      <c r="M49" s="129"/>
      <c r="N49" s="129"/>
      <c r="O49" s="129"/>
      <c r="P49" s="129"/>
      <c r="Q49" s="129"/>
      <c r="R49" s="129"/>
      <c r="S49" s="129"/>
      <c r="T49" s="129"/>
      <c r="U49" s="129"/>
      <c r="V49" s="129"/>
      <c r="W49" s="129"/>
      <c r="X49" s="129"/>
      <c r="Y49" s="129"/>
      <c r="Z49" s="129"/>
      <c r="AA49" s="129"/>
      <c r="AB49" s="129"/>
      <c r="AC49" s="42"/>
    </row>
    <row r="50" spans="1:29" outlineLevel="2" x14ac:dyDescent="0.25">
      <c r="A50" s="128"/>
      <c r="B50" s="7"/>
      <c r="C50" s="194"/>
      <c r="D50" s="194"/>
      <c r="E50" s="19"/>
      <c r="F50" s="21"/>
      <c r="G50" s="22"/>
      <c r="H50" s="22"/>
      <c r="I50" s="22"/>
      <c r="J50" s="22"/>
      <c r="K50" s="20"/>
      <c r="L50" s="8"/>
      <c r="M50" s="129"/>
      <c r="N50" s="129"/>
      <c r="O50" s="129"/>
      <c r="P50" s="129"/>
      <c r="Q50" s="129"/>
      <c r="R50" s="129"/>
      <c r="S50" s="129"/>
      <c r="T50" s="129"/>
      <c r="U50" s="129"/>
      <c r="V50" s="129"/>
      <c r="W50" s="129"/>
      <c r="X50" s="129"/>
      <c r="Y50" s="129"/>
      <c r="Z50" s="129"/>
      <c r="AA50" s="129"/>
      <c r="AB50" s="129"/>
      <c r="AC50" s="42"/>
    </row>
    <row r="51" spans="1:29" outlineLevel="2" x14ac:dyDescent="0.25">
      <c r="A51" s="128"/>
      <c r="B51" s="7"/>
      <c r="C51" s="194"/>
      <c r="D51" s="194"/>
      <c r="E51" s="21"/>
      <c r="F51" s="22"/>
      <c r="G51" s="22"/>
      <c r="H51" s="22"/>
      <c r="I51" s="22"/>
      <c r="J51" s="22"/>
      <c r="K51" s="23"/>
      <c r="L51" s="8"/>
      <c r="M51" s="129"/>
      <c r="N51" s="129"/>
      <c r="O51" s="129"/>
      <c r="P51" s="129"/>
      <c r="Q51" s="129"/>
      <c r="R51" s="129"/>
      <c r="S51" s="129"/>
      <c r="T51" s="129"/>
      <c r="U51" s="129"/>
      <c r="V51" s="129"/>
      <c r="W51" s="129"/>
      <c r="X51" s="129"/>
      <c r="Y51" s="129"/>
      <c r="Z51" s="129"/>
      <c r="AA51" s="129"/>
      <c r="AB51" s="129"/>
      <c r="AC51" s="42"/>
    </row>
    <row r="52" spans="1:29" ht="15.75" outlineLevel="2" thickBot="1" x14ac:dyDescent="0.3">
      <c r="A52" s="128"/>
      <c r="B52" s="10"/>
      <c r="C52" s="11"/>
      <c r="D52" s="11"/>
      <c r="E52" s="11"/>
      <c r="F52" s="11"/>
      <c r="G52" s="11"/>
      <c r="H52" s="11"/>
      <c r="I52" s="11"/>
      <c r="J52" s="11"/>
      <c r="K52" s="11"/>
      <c r="L52" s="12"/>
      <c r="M52" s="129"/>
      <c r="N52" s="129"/>
      <c r="O52" s="129"/>
      <c r="P52" s="129"/>
      <c r="Q52" s="129"/>
      <c r="R52" s="129"/>
      <c r="S52" s="129"/>
      <c r="T52" s="129"/>
      <c r="U52" s="129"/>
      <c r="V52" s="129"/>
      <c r="W52" s="129"/>
      <c r="X52" s="129"/>
      <c r="Y52" s="129"/>
      <c r="Z52" s="129"/>
      <c r="AA52" s="129"/>
      <c r="AB52" s="129"/>
      <c r="AC52" s="42"/>
    </row>
    <row r="53" spans="1:29" outlineLevel="2" x14ac:dyDescent="0.25">
      <c r="A53" s="128"/>
      <c r="B53" s="129"/>
      <c r="C53" s="129"/>
      <c r="D53" s="129"/>
      <c r="E53" s="129"/>
      <c r="F53" s="129"/>
      <c r="G53" s="129"/>
      <c r="H53" s="129"/>
      <c r="I53" s="129"/>
      <c r="J53" s="129"/>
      <c r="K53" s="129"/>
      <c r="L53" s="129"/>
      <c r="M53" s="129"/>
      <c r="N53" s="129"/>
      <c r="O53" s="129"/>
      <c r="P53" s="129"/>
      <c r="Q53" s="129"/>
      <c r="R53" s="129"/>
      <c r="S53" s="129"/>
      <c r="T53" s="129"/>
      <c r="U53" s="129"/>
      <c r="V53" s="129"/>
      <c r="W53" s="129"/>
      <c r="X53" s="129"/>
      <c r="Y53" s="129"/>
      <c r="Z53" s="129"/>
      <c r="AA53" s="129"/>
      <c r="AB53" s="129"/>
      <c r="AC53" s="42"/>
    </row>
    <row r="54" spans="1:29" outlineLevel="1" x14ac:dyDescent="0.25">
      <c r="A54" s="128"/>
      <c r="B54" s="45"/>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2"/>
    </row>
    <row r="55" spans="1:29" ht="41.25" customHeight="1" x14ac:dyDescent="0.25">
      <c r="A55" s="128"/>
      <c r="B55" s="156" t="s">
        <v>371</v>
      </c>
      <c r="C55" s="1162" t="s">
        <v>372</v>
      </c>
      <c r="D55" s="1162"/>
      <c r="E55" s="1162"/>
      <c r="F55" s="1162"/>
      <c r="G55" s="1162"/>
      <c r="H55" s="46"/>
      <c r="I55" s="46"/>
      <c r="J55" s="46"/>
      <c r="K55" s="46"/>
      <c r="L55" s="46"/>
      <c r="M55" s="46"/>
      <c r="N55" s="46"/>
      <c r="O55" s="46"/>
      <c r="P55" s="46"/>
      <c r="Q55" s="47"/>
      <c r="R55" s="46"/>
      <c r="S55" s="46"/>
      <c r="T55" s="46"/>
      <c r="U55" s="46"/>
      <c r="V55" s="46"/>
      <c r="W55" s="46"/>
      <c r="X55" s="46"/>
      <c r="Y55" s="46"/>
      <c r="Z55" s="46"/>
      <c r="AA55" s="46"/>
      <c r="AB55" s="157"/>
      <c r="AC55" s="42"/>
    </row>
    <row r="56" spans="1:29" x14ac:dyDescent="0.25">
      <c r="A56" s="128"/>
      <c r="B56" s="48"/>
      <c r="C56" s="1152" t="s">
        <v>373</v>
      </c>
      <c r="D56" s="1152"/>
      <c r="E56" s="1152"/>
      <c r="F56" s="1152"/>
      <c r="G56" s="1152"/>
      <c r="H56" s="90" t="s">
        <v>159</v>
      </c>
      <c r="I56" s="90" t="s">
        <v>159</v>
      </c>
      <c r="J56" s="90" t="s">
        <v>159</v>
      </c>
      <c r="K56" s="90" t="s">
        <v>159</v>
      </c>
      <c r="L56" s="90" t="s">
        <v>159</v>
      </c>
      <c r="M56" s="90" t="s">
        <v>159</v>
      </c>
      <c r="N56" s="90" t="s">
        <v>159</v>
      </c>
      <c r="O56" s="90" t="s">
        <v>159</v>
      </c>
      <c r="P56" s="90" t="s">
        <v>159</v>
      </c>
      <c r="Q56" s="103" t="s">
        <v>159</v>
      </c>
      <c r="R56" s="90" t="s">
        <v>159</v>
      </c>
      <c r="S56" s="90" t="s">
        <v>159</v>
      </c>
      <c r="T56" s="90" t="s">
        <v>159</v>
      </c>
      <c r="U56" s="90" t="s">
        <v>159</v>
      </c>
      <c r="V56" s="90" t="s">
        <v>159</v>
      </c>
      <c r="W56" s="90" t="s">
        <v>159</v>
      </c>
      <c r="X56" s="90" t="s">
        <v>159</v>
      </c>
      <c r="Y56" s="90" t="s">
        <v>159</v>
      </c>
      <c r="Z56" s="90" t="s">
        <v>159</v>
      </c>
      <c r="AA56" s="90" t="s">
        <v>159</v>
      </c>
      <c r="AB56" s="103"/>
      <c r="AC56" s="42"/>
    </row>
    <row r="57" spans="1:29" x14ac:dyDescent="0.25">
      <c r="A57" s="128"/>
      <c r="B57" s="48"/>
      <c r="C57" s="1" t="s">
        <v>374</v>
      </c>
      <c r="D57" s="1"/>
      <c r="E57" s="1"/>
      <c r="F57" s="1"/>
      <c r="G57" s="1"/>
      <c r="H57" s="189">
        <f t="shared" ref="H57:AA57" si="0">DAYS360($P$8,H58)/360</f>
        <v>1</v>
      </c>
      <c r="I57" s="189">
        <f t="shared" si="0"/>
        <v>2</v>
      </c>
      <c r="J57" s="189">
        <f t="shared" si="0"/>
        <v>3</v>
      </c>
      <c r="K57" s="189">
        <f t="shared" si="0"/>
        <v>4</v>
      </c>
      <c r="L57" s="189">
        <f t="shared" si="0"/>
        <v>5</v>
      </c>
      <c r="M57" s="189">
        <f t="shared" si="0"/>
        <v>6</v>
      </c>
      <c r="N57" s="189">
        <f t="shared" si="0"/>
        <v>7</v>
      </c>
      <c r="O57" s="189">
        <f t="shared" si="0"/>
        <v>8</v>
      </c>
      <c r="P57" s="189">
        <f t="shared" si="0"/>
        <v>9</v>
      </c>
      <c r="Q57" s="190">
        <f t="shared" si="0"/>
        <v>10</v>
      </c>
      <c r="R57" s="189">
        <f t="shared" si="0"/>
        <v>11</v>
      </c>
      <c r="S57" s="189">
        <f t="shared" si="0"/>
        <v>12</v>
      </c>
      <c r="T57" s="189">
        <f t="shared" si="0"/>
        <v>13</v>
      </c>
      <c r="U57" s="189">
        <f t="shared" si="0"/>
        <v>14</v>
      </c>
      <c r="V57" s="189">
        <f t="shared" si="0"/>
        <v>15</v>
      </c>
      <c r="W57" s="189">
        <f t="shared" si="0"/>
        <v>16</v>
      </c>
      <c r="X57" s="189">
        <f t="shared" si="0"/>
        <v>17</v>
      </c>
      <c r="Y57" s="189">
        <f t="shared" si="0"/>
        <v>18</v>
      </c>
      <c r="Z57" s="189">
        <f t="shared" si="0"/>
        <v>19</v>
      </c>
      <c r="AA57" s="189">
        <f t="shared" si="0"/>
        <v>20</v>
      </c>
      <c r="AB57" s="125" t="s">
        <v>375</v>
      </c>
      <c r="AC57" s="42"/>
    </row>
    <row r="58" spans="1:29" x14ac:dyDescent="0.25">
      <c r="A58" s="128"/>
      <c r="B58" s="48"/>
      <c r="C58" s="137" t="s">
        <v>376</v>
      </c>
      <c r="D58" s="1"/>
      <c r="E58" s="1"/>
      <c r="F58" s="1"/>
      <c r="G58" s="1"/>
      <c r="H58" s="80">
        <f>+DATE(YEAR(P8)+1,MONTH(P8),DAY(P8))</f>
        <v>43556</v>
      </c>
      <c r="I58" s="80">
        <f t="shared" ref="I58:AA58" si="1">+DATE(YEAR(H58)+1,MONTH(H58),DAY(H58))</f>
        <v>43922</v>
      </c>
      <c r="J58" s="80">
        <f t="shared" si="1"/>
        <v>44287</v>
      </c>
      <c r="K58" s="80">
        <f t="shared" si="1"/>
        <v>44652</v>
      </c>
      <c r="L58" s="80">
        <f t="shared" si="1"/>
        <v>45017</v>
      </c>
      <c r="M58" s="80">
        <f t="shared" si="1"/>
        <v>45383</v>
      </c>
      <c r="N58" s="80">
        <f t="shared" si="1"/>
        <v>45748</v>
      </c>
      <c r="O58" s="80">
        <f t="shared" si="1"/>
        <v>46113</v>
      </c>
      <c r="P58" s="80">
        <f t="shared" si="1"/>
        <v>46478</v>
      </c>
      <c r="Q58" s="165">
        <f t="shared" si="1"/>
        <v>46844</v>
      </c>
      <c r="R58" s="80">
        <f t="shared" si="1"/>
        <v>47209</v>
      </c>
      <c r="S58" s="80">
        <f t="shared" si="1"/>
        <v>47574</v>
      </c>
      <c r="T58" s="80">
        <f t="shared" si="1"/>
        <v>47939</v>
      </c>
      <c r="U58" s="80">
        <f t="shared" si="1"/>
        <v>48305</v>
      </c>
      <c r="V58" s="80">
        <f t="shared" si="1"/>
        <v>48670</v>
      </c>
      <c r="W58" s="80">
        <f t="shared" si="1"/>
        <v>49035</v>
      </c>
      <c r="X58" s="80">
        <f t="shared" si="1"/>
        <v>49400</v>
      </c>
      <c r="Y58" s="80">
        <f t="shared" si="1"/>
        <v>49766</v>
      </c>
      <c r="Z58" s="80">
        <f t="shared" si="1"/>
        <v>50131</v>
      </c>
      <c r="AA58" s="80">
        <f t="shared" si="1"/>
        <v>50496</v>
      </c>
      <c r="AB58" s="158"/>
      <c r="AC58" s="42"/>
    </row>
    <row r="59" spans="1:29" x14ac:dyDescent="0.25">
      <c r="A59" s="128"/>
      <c r="B59" s="48"/>
      <c r="C59" s="178" t="s">
        <v>7</v>
      </c>
      <c r="D59" s="54"/>
      <c r="E59" s="54"/>
      <c r="F59" s="54"/>
      <c r="G59" s="1"/>
      <c r="H59" s="138">
        <f>+I14</f>
        <v>200000</v>
      </c>
      <c r="I59" s="1"/>
      <c r="J59" s="1"/>
      <c r="K59" s="1"/>
      <c r="L59" s="1"/>
      <c r="M59" s="1"/>
      <c r="N59" s="1"/>
      <c r="O59" s="1"/>
      <c r="P59" s="1"/>
      <c r="Q59" s="49"/>
      <c r="R59" s="402">
        <f>+'Year 11+ Risk Analysis'!M22</f>
        <v>0</v>
      </c>
      <c r="S59" s="1"/>
      <c r="T59" s="1"/>
      <c r="U59" s="1"/>
      <c r="V59" s="1"/>
      <c r="W59" s="1"/>
      <c r="X59" s="1"/>
      <c r="Y59" s="1"/>
      <c r="Z59" s="1"/>
      <c r="AA59" s="1"/>
      <c r="AB59" s="103"/>
      <c r="AC59" s="42"/>
    </row>
    <row r="60" spans="1:29" x14ac:dyDescent="0.25">
      <c r="A60" s="128"/>
      <c r="B60" s="48"/>
      <c r="C60" s="109" t="s">
        <v>377</v>
      </c>
      <c r="D60" s="1"/>
      <c r="E60" s="1"/>
      <c r="F60" s="1"/>
      <c r="G60" s="1"/>
      <c r="H60" s="139">
        <f>+I14</f>
        <v>200000</v>
      </c>
      <c r="I60" s="50">
        <f t="shared" ref="I60:AA60" ca="1" si="2">+H79</f>
        <v>221800</v>
      </c>
      <c r="J60" s="50">
        <f t="shared" ca="1" si="2"/>
        <v>230232</v>
      </c>
      <c r="K60" s="50">
        <f t="shared" ca="1" si="2"/>
        <v>177387.4</v>
      </c>
      <c r="L60" s="50">
        <f t="shared" ca="1" si="2"/>
        <v>152218.12939999998</v>
      </c>
      <c r="M60" s="50">
        <f t="shared" ca="1" si="2"/>
        <v>124372.55810899998</v>
      </c>
      <c r="N60" s="50">
        <f t="shared" ca="1" si="2"/>
        <v>99256.946383994975</v>
      </c>
      <c r="O60" s="50">
        <f t="shared" ca="1" si="2"/>
        <v>102677.81648118209</v>
      </c>
      <c r="P60" s="50">
        <f t="shared" ca="1" si="2"/>
        <v>82734.959947855561</v>
      </c>
      <c r="Q60" s="166">
        <f t="shared" ca="1" si="2"/>
        <v>76929.840090918253</v>
      </c>
      <c r="R60" s="403">
        <f ca="1">+Q79+R59</f>
        <v>71501.620551003783</v>
      </c>
      <c r="S60" s="50">
        <f t="shared" ca="1" si="2"/>
        <v>-36982.765624834967</v>
      </c>
      <c r="T60" s="50">
        <f t="shared" ca="1" si="2"/>
        <v>-141039.95431862085</v>
      </c>
      <c r="U60" s="50">
        <f t="shared" ca="1" si="2"/>
        <v>-171835.76678628245</v>
      </c>
      <c r="V60" s="50">
        <f t="shared" ca="1" si="2"/>
        <v>-215984.35550329729</v>
      </c>
      <c r="W60" s="50">
        <f t="shared" ca="1" si="2"/>
        <v>-307888.67599465244</v>
      </c>
      <c r="X60" s="50">
        <f t="shared" ca="1" si="2"/>
        <v>-295095.48289583466</v>
      </c>
      <c r="Y60" s="50">
        <f t="shared" ca="1" si="2"/>
        <v>-267914.32593504054</v>
      </c>
      <c r="Z60" s="50">
        <f t="shared" ca="1" si="2"/>
        <v>-284015.5458350305</v>
      </c>
      <c r="AA60" s="50">
        <f t="shared" ca="1" si="2"/>
        <v>-292605.2701330203</v>
      </c>
      <c r="AB60" s="103"/>
      <c r="AC60" s="42"/>
    </row>
    <row r="61" spans="1:29" outlineLevel="1" x14ac:dyDescent="0.25">
      <c r="A61" s="128"/>
      <c r="B61" s="48"/>
      <c r="C61" s="140" t="s">
        <v>378</v>
      </c>
      <c r="D61" s="1"/>
      <c r="E61" s="1"/>
      <c r="F61" s="1"/>
      <c r="G61" s="1"/>
      <c r="H61" s="141">
        <f t="shared" ref="H61:AA61" ca="1" si="3">IF($K$28&lt;=0,$I$28,+IF(H57&lt;$K$28,$I$28,$J$28))</f>
        <v>0.01</v>
      </c>
      <c r="I61" s="141">
        <f t="shared" ca="1" si="3"/>
        <v>0.01</v>
      </c>
      <c r="J61" s="141">
        <f t="shared" ca="1" si="3"/>
        <v>1.4999999999999999E-2</v>
      </c>
      <c r="K61" s="141">
        <f t="shared" ca="1" si="3"/>
        <v>1.4999999999999999E-2</v>
      </c>
      <c r="L61" s="141">
        <f t="shared" ca="1" si="3"/>
        <v>1.4999999999999999E-2</v>
      </c>
      <c r="M61" s="141">
        <f t="shared" ca="1" si="3"/>
        <v>1.4999999999999999E-2</v>
      </c>
      <c r="N61" s="141">
        <f t="shared" ca="1" si="3"/>
        <v>1.4999999999999999E-2</v>
      </c>
      <c r="O61" s="141">
        <f t="shared" ca="1" si="3"/>
        <v>1.4999999999999999E-2</v>
      </c>
      <c r="P61" s="141">
        <f t="shared" ca="1" si="3"/>
        <v>1.4999999999999999E-2</v>
      </c>
      <c r="Q61" s="188">
        <f t="shared" ca="1" si="3"/>
        <v>1.4999999999999999E-2</v>
      </c>
      <c r="R61" s="141">
        <f t="shared" ca="1" si="3"/>
        <v>1.4999999999999999E-2</v>
      </c>
      <c r="S61" s="141">
        <f t="shared" ca="1" si="3"/>
        <v>1.4999999999999999E-2</v>
      </c>
      <c r="T61" s="141">
        <f t="shared" ca="1" si="3"/>
        <v>1.4999999999999999E-2</v>
      </c>
      <c r="U61" s="141">
        <f t="shared" ca="1" si="3"/>
        <v>1.4999999999999999E-2</v>
      </c>
      <c r="V61" s="141">
        <f t="shared" ca="1" si="3"/>
        <v>1.4999999999999999E-2</v>
      </c>
      <c r="W61" s="141">
        <f t="shared" ca="1" si="3"/>
        <v>1.4999999999999999E-2</v>
      </c>
      <c r="X61" s="141">
        <f t="shared" ca="1" si="3"/>
        <v>1.4999999999999999E-2</v>
      </c>
      <c r="Y61" s="141">
        <f t="shared" ca="1" si="3"/>
        <v>1.4999999999999999E-2</v>
      </c>
      <c r="Z61" s="141">
        <f t="shared" ca="1" si="3"/>
        <v>1.4999999999999999E-2</v>
      </c>
      <c r="AA61" s="141">
        <f t="shared" ca="1" si="3"/>
        <v>1.4999999999999999E-2</v>
      </c>
      <c r="AB61" s="103"/>
      <c r="AC61" s="42"/>
    </row>
    <row r="62" spans="1:29" ht="17.25" x14ac:dyDescent="0.4">
      <c r="A62" s="128"/>
      <c r="B62" s="48"/>
      <c r="C62" s="142" t="s">
        <v>379</v>
      </c>
      <c r="D62" s="1"/>
      <c r="E62" s="1"/>
      <c r="F62" s="1"/>
      <c r="G62" s="1"/>
      <c r="H62" s="143">
        <f ca="1">+IF(+H60*H61&gt;0,H60*H61,0)</f>
        <v>2000</v>
      </c>
      <c r="I62" s="143">
        <f t="shared" ref="I62:AA62" ca="1" si="4">+IF(+I60*I61&gt;0,I60*I61,0)</f>
        <v>2218</v>
      </c>
      <c r="J62" s="143">
        <f t="shared" ca="1" si="4"/>
        <v>3453.48</v>
      </c>
      <c r="K62" s="143">
        <f t="shared" ca="1" si="4"/>
        <v>2660.8109999999997</v>
      </c>
      <c r="L62" s="143">
        <f t="shared" ca="1" si="4"/>
        <v>2283.2719409999995</v>
      </c>
      <c r="M62" s="143">
        <f t="shared" ca="1" si="4"/>
        <v>1865.5883716349995</v>
      </c>
      <c r="N62" s="143">
        <f t="shared" ca="1" si="4"/>
        <v>1488.8541957599246</v>
      </c>
      <c r="O62" s="143">
        <f t="shared" ca="1" si="4"/>
        <v>1540.1672472177313</v>
      </c>
      <c r="P62" s="143">
        <f t="shared" ca="1" si="4"/>
        <v>1241.0243992178334</v>
      </c>
      <c r="Q62" s="167">
        <f t="shared" ca="1" si="4"/>
        <v>1153.9476013637739</v>
      </c>
      <c r="R62" s="143">
        <f t="shared" ca="1" si="4"/>
        <v>1072.5243082650568</v>
      </c>
      <c r="S62" s="143">
        <f t="shared" ca="1" si="4"/>
        <v>0</v>
      </c>
      <c r="T62" s="143">
        <f t="shared" ca="1" si="4"/>
        <v>0</v>
      </c>
      <c r="U62" s="143">
        <f t="shared" ca="1" si="4"/>
        <v>0</v>
      </c>
      <c r="V62" s="143">
        <f t="shared" ca="1" si="4"/>
        <v>0</v>
      </c>
      <c r="W62" s="143">
        <f t="shared" ca="1" si="4"/>
        <v>0</v>
      </c>
      <c r="X62" s="143">
        <f t="shared" ca="1" si="4"/>
        <v>0</v>
      </c>
      <c r="Y62" s="143">
        <f t="shared" ca="1" si="4"/>
        <v>0</v>
      </c>
      <c r="Z62" s="143">
        <f t="shared" ca="1" si="4"/>
        <v>0</v>
      </c>
      <c r="AA62" s="143">
        <f t="shared" ca="1" si="4"/>
        <v>0</v>
      </c>
      <c r="AB62" s="159">
        <f ca="1">SUM(H62:AA62)</f>
        <v>20977.669064459315</v>
      </c>
      <c r="AC62" s="42"/>
    </row>
    <row r="63" spans="1:29" x14ac:dyDescent="0.25">
      <c r="A63" s="128"/>
      <c r="B63" s="48"/>
      <c r="C63" s="109" t="s">
        <v>380</v>
      </c>
      <c r="D63" s="1"/>
      <c r="E63" s="1"/>
      <c r="F63" s="1"/>
      <c r="G63" s="1"/>
      <c r="H63" s="144">
        <f ca="1">+H60+H62</f>
        <v>202000</v>
      </c>
      <c r="I63" s="144">
        <f t="shared" ref="I63:AA63" ca="1" si="5">+I60+I62</f>
        <v>224018</v>
      </c>
      <c r="J63" s="144">
        <f t="shared" ca="1" si="5"/>
        <v>233685.48</v>
      </c>
      <c r="K63" s="144">
        <f t="shared" ca="1" si="5"/>
        <v>180048.21099999998</v>
      </c>
      <c r="L63" s="144">
        <f t="shared" ca="1" si="5"/>
        <v>154501.40134099999</v>
      </c>
      <c r="M63" s="144">
        <f t="shared" ca="1" si="5"/>
        <v>126238.14648063497</v>
      </c>
      <c r="N63" s="144">
        <f t="shared" ca="1" si="5"/>
        <v>100745.8005797549</v>
      </c>
      <c r="O63" s="144">
        <f t="shared" ca="1" si="5"/>
        <v>104217.98372839982</v>
      </c>
      <c r="P63" s="144">
        <f t="shared" ca="1" si="5"/>
        <v>83975.98434707339</v>
      </c>
      <c r="Q63" s="168">
        <f t="shared" ca="1" si="5"/>
        <v>78083.787692282029</v>
      </c>
      <c r="R63" s="144">
        <f t="shared" ca="1" si="5"/>
        <v>72574.144859268839</v>
      </c>
      <c r="S63" s="144">
        <f t="shared" ca="1" si="5"/>
        <v>-36982.765624834967</v>
      </c>
      <c r="T63" s="144">
        <f t="shared" ca="1" si="5"/>
        <v>-141039.95431862085</v>
      </c>
      <c r="U63" s="144">
        <f t="shared" ca="1" si="5"/>
        <v>-171835.76678628245</v>
      </c>
      <c r="V63" s="144">
        <f t="shared" ca="1" si="5"/>
        <v>-215984.35550329729</v>
      </c>
      <c r="W63" s="144">
        <f t="shared" ca="1" si="5"/>
        <v>-307888.67599465244</v>
      </c>
      <c r="X63" s="144">
        <f t="shared" ca="1" si="5"/>
        <v>-295095.48289583466</v>
      </c>
      <c r="Y63" s="144">
        <f t="shared" ca="1" si="5"/>
        <v>-267914.32593504054</v>
      </c>
      <c r="Z63" s="144">
        <f t="shared" ca="1" si="5"/>
        <v>-284015.5458350305</v>
      </c>
      <c r="AA63" s="144">
        <f t="shared" ca="1" si="5"/>
        <v>-292605.2701330203</v>
      </c>
      <c r="AB63" s="103"/>
      <c r="AC63" s="42"/>
    </row>
    <row r="64" spans="1:29" outlineLevel="1" x14ac:dyDescent="0.25">
      <c r="A64" s="128"/>
      <c r="B64" s="48"/>
      <c r="C64" s="109"/>
      <c r="D64" s="1"/>
      <c r="E64" s="1"/>
      <c r="F64" s="1"/>
      <c r="G64" s="1"/>
      <c r="H64" s="404">
        <f>+'Year 11+ Risk Analysis'!M12*P22</f>
        <v>0</v>
      </c>
      <c r="I64" s="144"/>
      <c r="J64" s="144"/>
      <c r="K64" s="144"/>
      <c r="L64" s="144"/>
      <c r="M64" s="144"/>
      <c r="N64" s="144"/>
      <c r="O64" s="144"/>
      <c r="P64" s="144"/>
      <c r="Q64" s="168"/>
      <c r="R64" s="404">
        <f>+'Year 11+ Risk Analysis'!M32*P22*(1+R66)</f>
        <v>0</v>
      </c>
      <c r="S64" s="404">
        <f>+R64*(1+S66)</f>
        <v>0</v>
      </c>
      <c r="T64" s="404">
        <f t="shared" ref="T64:AA64" si="6">+S64*(1+T66)</f>
        <v>0</v>
      </c>
      <c r="U64" s="404">
        <f t="shared" si="6"/>
        <v>0</v>
      </c>
      <c r="V64" s="404">
        <f t="shared" si="6"/>
        <v>0</v>
      </c>
      <c r="W64" s="404">
        <f t="shared" si="6"/>
        <v>0</v>
      </c>
      <c r="X64" s="404">
        <f t="shared" si="6"/>
        <v>0</v>
      </c>
      <c r="Y64" s="404">
        <f t="shared" si="6"/>
        <v>0</v>
      </c>
      <c r="Z64" s="404">
        <f t="shared" si="6"/>
        <v>0</v>
      </c>
      <c r="AA64" s="404">
        <f t="shared" si="6"/>
        <v>0</v>
      </c>
      <c r="AB64" s="159">
        <f>SUM(H64:AA64)</f>
        <v>0</v>
      </c>
      <c r="AC64" s="42"/>
    </row>
    <row r="65" spans="1:29" outlineLevel="1" x14ac:dyDescent="0.25">
      <c r="A65" s="128"/>
      <c r="B65" s="48"/>
      <c r="C65" s="104" t="s">
        <v>381</v>
      </c>
      <c r="D65" s="54"/>
      <c r="E65" s="54"/>
      <c r="F65" s="54"/>
      <c r="G65" s="54"/>
      <c r="H65" s="415">
        <f>+I18+H64</f>
        <v>19800</v>
      </c>
      <c r="I65" s="192">
        <f t="shared" ref="I65:AA65" si="7">+H65</f>
        <v>19800</v>
      </c>
      <c r="J65" s="192">
        <f t="shared" si="7"/>
        <v>19800</v>
      </c>
      <c r="K65" s="192">
        <f t="shared" si="7"/>
        <v>19800</v>
      </c>
      <c r="L65" s="192">
        <f t="shared" si="7"/>
        <v>19800</v>
      </c>
      <c r="M65" s="192">
        <f t="shared" si="7"/>
        <v>19800</v>
      </c>
      <c r="N65" s="192">
        <f t="shared" si="7"/>
        <v>19800</v>
      </c>
      <c r="O65" s="192">
        <f t="shared" si="7"/>
        <v>19800</v>
      </c>
      <c r="P65" s="192">
        <f t="shared" si="7"/>
        <v>19800</v>
      </c>
      <c r="Q65" s="117">
        <f t="shared" si="7"/>
        <v>19800</v>
      </c>
      <c r="R65" s="192">
        <f t="shared" si="7"/>
        <v>19800</v>
      </c>
      <c r="S65" s="192">
        <f t="shared" si="7"/>
        <v>19800</v>
      </c>
      <c r="T65" s="192">
        <f t="shared" si="7"/>
        <v>19800</v>
      </c>
      <c r="U65" s="192">
        <f t="shared" si="7"/>
        <v>19800</v>
      </c>
      <c r="V65" s="192">
        <f t="shared" si="7"/>
        <v>19800</v>
      </c>
      <c r="W65" s="192">
        <f t="shared" si="7"/>
        <v>19800</v>
      </c>
      <c r="X65" s="192">
        <f t="shared" si="7"/>
        <v>19800</v>
      </c>
      <c r="Y65" s="192">
        <f t="shared" si="7"/>
        <v>19800</v>
      </c>
      <c r="Z65" s="192">
        <f t="shared" si="7"/>
        <v>19800</v>
      </c>
      <c r="AA65" s="192">
        <f t="shared" si="7"/>
        <v>19800</v>
      </c>
      <c r="AB65" s="159">
        <f>SUM(H65:AA65)</f>
        <v>396000</v>
      </c>
      <c r="AC65" s="42"/>
    </row>
    <row r="66" spans="1:29" outlineLevel="1" x14ac:dyDescent="0.25">
      <c r="A66" s="128"/>
      <c r="B66" s="48"/>
      <c r="C66" s="140" t="s">
        <v>382</v>
      </c>
      <c r="D66" s="54"/>
      <c r="E66" s="54"/>
      <c r="F66" s="54"/>
      <c r="G66" s="54"/>
      <c r="H66" s="196">
        <v>0</v>
      </c>
      <c r="I66" s="196">
        <f t="shared" ref="I66:AA66" si="8">IF($K$24&lt;=0,$I$24,+IF(I57&lt;$K$24,$I$24,$J$24))</f>
        <v>0.02</v>
      </c>
      <c r="J66" s="196">
        <f t="shared" si="8"/>
        <v>0.02</v>
      </c>
      <c r="K66" s="196">
        <f t="shared" si="8"/>
        <v>0.02</v>
      </c>
      <c r="L66" s="196">
        <f t="shared" si="8"/>
        <v>0.02</v>
      </c>
      <c r="M66" s="196">
        <f t="shared" si="8"/>
        <v>0.02</v>
      </c>
      <c r="N66" s="196">
        <f t="shared" si="8"/>
        <v>0.02</v>
      </c>
      <c r="O66" s="196">
        <f t="shared" si="8"/>
        <v>0.02</v>
      </c>
      <c r="P66" s="196">
        <f t="shared" si="8"/>
        <v>0.02</v>
      </c>
      <c r="Q66" s="197">
        <f t="shared" si="8"/>
        <v>0.02</v>
      </c>
      <c r="R66" s="196">
        <f t="shared" si="8"/>
        <v>0.02</v>
      </c>
      <c r="S66" s="196">
        <f t="shared" si="8"/>
        <v>0.02</v>
      </c>
      <c r="T66" s="196">
        <f t="shared" si="8"/>
        <v>0.02</v>
      </c>
      <c r="U66" s="196">
        <f t="shared" si="8"/>
        <v>0.02</v>
      </c>
      <c r="V66" s="196">
        <f t="shared" si="8"/>
        <v>0.02</v>
      </c>
      <c r="W66" s="196">
        <f t="shared" si="8"/>
        <v>0.02</v>
      </c>
      <c r="X66" s="196">
        <f t="shared" si="8"/>
        <v>0.02</v>
      </c>
      <c r="Y66" s="196">
        <f t="shared" si="8"/>
        <v>0.02</v>
      </c>
      <c r="Z66" s="196">
        <f t="shared" si="8"/>
        <v>0.02</v>
      </c>
      <c r="AA66" s="196">
        <f t="shared" si="8"/>
        <v>0.02</v>
      </c>
      <c r="AB66" s="103"/>
      <c r="AC66" s="42"/>
    </row>
    <row r="67" spans="1:29" outlineLevel="1" x14ac:dyDescent="0.25">
      <c r="A67" s="128"/>
      <c r="B67" s="48"/>
      <c r="C67" s="140" t="s">
        <v>383</v>
      </c>
      <c r="D67" s="54"/>
      <c r="E67" s="54"/>
      <c r="F67" s="54"/>
      <c r="G67" s="54"/>
      <c r="H67" s="145">
        <f>+H66</f>
        <v>0</v>
      </c>
      <c r="I67" s="145">
        <f t="shared" ref="I67:AA67" si="9">+(1+H67)*(1+I66)-1</f>
        <v>2.0000000000000018E-2</v>
      </c>
      <c r="J67" s="145">
        <f t="shared" si="9"/>
        <v>4.0399999999999991E-2</v>
      </c>
      <c r="K67" s="145">
        <f t="shared" si="9"/>
        <v>6.1207999999999929E-2</v>
      </c>
      <c r="L67" s="145">
        <f t="shared" si="9"/>
        <v>8.2432159999999977E-2</v>
      </c>
      <c r="M67" s="145">
        <f t="shared" si="9"/>
        <v>0.10408080320000002</v>
      </c>
      <c r="N67" s="145">
        <f t="shared" si="9"/>
        <v>0.12616241926400007</v>
      </c>
      <c r="O67" s="145">
        <f t="shared" si="9"/>
        <v>0.14868566764928004</v>
      </c>
      <c r="P67" s="145">
        <f t="shared" si="9"/>
        <v>0.17165938100226574</v>
      </c>
      <c r="Q67" s="169">
        <f t="shared" si="9"/>
        <v>0.19509256862231106</v>
      </c>
      <c r="R67" s="145">
        <f t="shared" si="9"/>
        <v>0.21899441999475733</v>
      </c>
      <c r="S67" s="145">
        <f t="shared" si="9"/>
        <v>0.24337430839465246</v>
      </c>
      <c r="T67" s="145">
        <f t="shared" si="9"/>
        <v>0.26824179456254549</v>
      </c>
      <c r="U67" s="145">
        <f t="shared" si="9"/>
        <v>0.29360663045379631</v>
      </c>
      <c r="V67" s="145">
        <f t="shared" si="9"/>
        <v>0.31947876306287237</v>
      </c>
      <c r="W67" s="145">
        <f t="shared" si="9"/>
        <v>0.34586833832412989</v>
      </c>
      <c r="X67" s="145">
        <f t="shared" si="9"/>
        <v>0.37278570509061248</v>
      </c>
      <c r="Y67" s="145">
        <f t="shared" si="9"/>
        <v>0.40024141919242484</v>
      </c>
      <c r="Z67" s="145">
        <f t="shared" si="9"/>
        <v>0.42824624757627339</v>
      </c>
      <c r="AA67" s="145">
        <f t="shared" si="9"/>
        <v>0.45681117252779879</v>
      </c>
      <c r="AB67" s="103"/>
      <c r="AC67" s="42"/>
    </row>
    <row r="68" spans="1:29" outlineLevel="1" x14ac:dyDescent="0.25">
      <c r="A68" s="128"/>
      <c r="B68" s="48"/>
      <c r="C68" s="140" t="s">
        <v>384</v>
      </c>
      <c r="D68" s="54"/>
      <c r="E68" s="54"/>
      <c r="F68" s="54"/>
      <c r="G68" s="54"/>
      <c r="H68" s="146">
        <f t="shared" ref="H68:AA68" si="10">+H65*H67</f>
        <v>0</v>
      </c>
      <c r="I68" s="146">
        <f t="shared" si="10"/>
        <v>396.00000000000034</v>
      </c>
      <c r="J68" s="146">
        <f t="shared" si="10"/>
        <v>799.91999999999985</v>
      </c>
      <c r="K68" s="146">
        <f t="shared" si="10"/>
        <v>1211.9183999999987</v>
      </c>
      <c r="L68" s="146">
        <f t="shared" si="10"/>
        <v>1632.1567679999996</v>
      </c>
      <c r="M68" s="146">
        <f t="shared" si="10"/>
        <v>2060.7999033600004</v>
      </c>
      <c r="N68" s="146">
        <f t="shared" si="10"/>
        <v>2498.0159014272012</v>
      </c>
      <c r="O68" s="146">
        <f t="shared" si="10"/>
        <v>2943.9762194557447</v>
      </c>
      <c r="P68" s="146">
        <f t="shared" si="10"/>
        <v>3398.8557438448615</v>
      </c>
      <c r="Q68" s="170">
        <f>+Q65*Q67</f>
        <v>3862.8328587217588</v>
      </c>
      <c r="R68" s="146">
        <f>+R65*R67</f>
        <v>4336.0895158961948</v>
      </c>
      <c r="S68" s="146">
        <f t="shared" si="10"/>
        <v>4818.8113062141183</v>
      </c>
      <c r="T68" s="146">
        <f t="shared" si="10"/>
        <v>5311.1875323384011</v>
      </c>
      <c r="U68" s="146">
        <f t="shared" si="10"/>
        <v>5813.4112829851674</v>
      </c>
      <c r="V68" s="146">
        <f t="shared" si="10"/>
        <v>6325.6795086448728</v>
      </c>
      <c r="W68" s="146">
        <f t="shared" si="10"/>
        <v>6848.1930988177719</v>
      </c>
      <c r="X68" s="146">
        <f t="shared" si="10"/>
        <v>7381.1569607941274</v>
      </c>
      <c r="Y68" s="146">
        <f t="shared" si="10"/>
        <v>7924.7801000100117</v>
      </c>
      <c r="Z68" s="146">
        <f t="shared" si="10"/>
        <v>8479.2757020102126</v>
      </c>
      <c r="AA68" s="146">
        <f t="shared" si="10"/>
        <v>9044.8612160504163</v>
      </c>
      <c r="AB68" s="159">
        <f>SUM(H68:AA68)</f>
        <v>85087.922018570855</v>
      </c>
      <c r="AC68" s="42"/>
    </row>
    <row r="69" spans="1:29" ht="17.25" x14ac:dyDescent="0.4">
      <c r="A69" s="128"/>
      <c r="B69" s="48"/>
      <c r="C69" s="1" t="s">
        <v>385</v>
      </c>
      <c r="D69" s="1"/>
      <c r="E69" s="1"/>
      <c r="F69" s="1"/>
      <c r="G69" s="1"/>
      <c r="H69" s="147">
        <f>+H65+H68</f>
        <v>19800</v>
      </c>
      <c r="I69" s="147">
        <f t="shared" ref="I69:AA69" si="11">+I65+I68</f>
        <v>20196</v>
      </c>
      <c r="J69" s="147">
        <f t="shared" si="11"/>
        <v>20599.919999999998</v>
      </c>
      <c r="K69" s="147">
        <f t="shared" si="11"/>
        <v>21011.918399999999</v>
      </c>
      <c r="L69" s="147">
        <f t="shared" si="11"/>
        <v>21432.156768000001</v>
      </c>
      <c r="M69" s="147">
        <f t="shared" si="11"/>
        <v>21860.799903359999</v>
      </c>
      <c r="N69" s="147">
        <f t="shared" si="11"/>
        <v>22298.015901427199</v>
      </c>
      <c r="O69" s="147">
        <f t="shared" si="11"/>
        <v>22743.976219455744</v>
      </c>
      <c r="P69" s="147">
        <f t="shared" si="11"/>
        <v>23198.855743844862</v>
      </c>
      <c r="Q69" s="171">
        <f t="shared" si="11"/>
        <v>23662.832858721758</v>
      </c>
      <c r="R69" s="147">
        <f>+R65+R68</f>
        <v>24136.089515896194</v>
      </c>
      <c r="S69" s="147">
        <f t="shared" si="11"/>
        <v>24618.81130621412</v>
      </c>
      <c r="T69" s="147">
        <f t="shared" si="11"/>
        <v>25111.187532338401</v>
      </c>
      <c r="U69" s="147">
        <f t="shared" si="11"/>
        <v>25613.411282985166</v>
      </c>
      <c r="V69" s="147">
        <f t="shared" si="11"/>
        <v>26125.679508644873</v>
      </c>
      <c r="W69" s="147">
        <f t="shared" si="11"/>
        <v>26648.19309881777</v>
      </c>
      <c r="X69" s="147">
        <f t="shared" si="11"/>
        <v>27181.156960794127</v>
      </c>
      <c r="Y69" s="147">
        <f t="shared" si="11"/>
        <v>27724.780100010012</v>
      </c>
      <c r="Z69" s="147">
        <f t="shared" si="11"/>
        <v>28279.275702010214</v>
      </c>
      <c r="AA69" s="147">
        <f t="shared" si="11"/>
        <v>28844.861216050416</v>
      </c>
      <c r="AB69" s="160">
        <f>SUM(H69:AA69)</f>
        <v>481087.92201857083</v>
      </c>
      <c r="AC69" s="42"/>
    </row>
    <row r="70" spans="1:29" ht="17.25" x14ac:dyDescent="0.4">
      <c r="A70" s="128"/>
      <c r="B70" s="48"/>
      <c r="C70" s="1" t="s">
        <v>386</v>
      </c>
      <c r="D70" s="1"/>
      <c r="E70" s="1"/>
      <c r="F70" s="1"/>
      <c r="G70" s="1"/>
      <c r="H70" s="149">
        <f t="shared" ref="H70:AA70" ca="1" si="12">+H60+H72</f>
        <v>221800</v>
      </c>
      <c r="I70" s="149">
        <f t="shared" ca="1" si="12"/>
        <v>244214</v>
      </c>
      <c r="J70" s="149">
        <f t="shared" ca="1" si="12"/>
        <v>254285.4</v>
      </c>
      <c r="K70" s="149">
        <f t="shared" ca="1" si="12"/>
        <v>201060.12939999998</v>
      </c>
      <c r="L70" s="149">
        <f t="shared" ca="1" si="12"/>
        <v>175933.55810899998</v>
      </c>
      <c r="M70" s="149">
        <f t="shared" ca="1" si="12"/>
        <v>148098.94638399497</v>
      </c>
      <c r="N70" s="149">
        <f t="shared" ca="1" si="12"/>
        <v>123043.81648118209</v>
      </c>
      <c r="O70" s="149">
        <f t="shared" ca="1" si="12"/>
        <v>126961.95994785556</v>
      </c>
      <c r="P70" s="149">
        <f t="shared" ca="1" si="12"/>
        <v>107174.84009091825</v>
      </c>
      <c r="Q70" s="172">
        <f t="shared" ca="1" si="12"/>
        <v>101746.62055100378</v>
      </c>
      <c r="R70" s="149">
        <f t="shared" ca="1" si="12"/>
        <v>96710.234375165033</v>
      </c>
      <c r="S70" s="149">
        <f t="shared" ca="1" si="12"/>
        <v>-12363.954318620847</v>
      </c>
      <c r="T70" s="149">
        <f t="shared" ca="1" si="12"/>
        <v>-115928.76678628245</v>
      </c>
      <c r="U70" s="149">
        <f t="shared" ca="1" si="12"/>
        <v>-146222.35550329729</v>
      </c>
      <c r="V70" s="149">
        <f t="shared" ca="1" si="12"/>
        <v>-189858.67599465241</v>
      </c>
      <c r="W70" s="149">
        <f t="shared" ca="1" si="12"/>
        <v>-281240.48289583466</v>
      </c>
      <c r="X70" s="149">
        <f t="shared" ca="1" si="12"/>
        <v>-267914.32593504054</v>
      </c>
      <c r="Y70" s="149">
        <f t="shared" ca="1" si="12"/>
        <v>-240189.54583503053</v>
      </c>
      <c r="Z70" s="149">
        <f t="shared" ca="1" si="12"/>
        <v>-255736.2701330203</v>
      </c>
      <c r="AA70" s="149">
        <f t="shared" ca="1" si="12"/>
        <v>-263760.4089169699</v>
      </c>
      <c r="AB70" s="160"/>
      <c r="AC70" s="42"/>
    </row>
    <row r="71" spans="1:29" collapsed="1" x14ac:dyDescent="0.25">
      <c r="A71" s="128"/>
      <c r="B71" s="48"/>
      <c r="C71" s="1"/>
      <c r="D71" s="1"/>
      <c r="E71" s="1"/>
      <c r="F71" s="1"/>
      <c r="G71" s="1"/>
      <c r="H71" s="1"/>
      <c r="I71" s="1"/>
      <c r="J71" s="1"/>
      <c r="K71" s="1"/>
      <c r="L71" s="1"/>
      <c r="M71" s="1"/>
      <c r="N71" s="1"/>
      <c r="O71" s="1"/>
      <c r="P71" s="1"/>
      <c r="Q71" s="49"/>
      <c r="R71" s="1"/>
      <c r="S71" s="1"/>
      <c r="T71" s="1"/>
      <c r="U71" s="1"/>
      <c r="V71" s="1"/>
      <c r="W71" s="1"/>
      <c r="X71" s="1"/>
      <c r="Y71" s="1"/>
      <c r="Z71" s="1"/>
      <c r="AA71" s="1"/>
      <c r="AB71" s="103"/>
      <c r="AC71" s="42"/>
    </row>
    <row r="72" spans="1:29" ht="26.25" outlineLevel="1" thickBot="1" x14ac:dyDescent="0.3">
      <c r="A72" s="128"/>
      <c r="B72" s="48"/>
      <c r="C72" s="150" t="s">
        <v>387</v>
      </c>
      <c r="D72" s="54"/>
      <c r="E72" s="54"/>
      <c r="F72" s="54"/>
      <c r="G72" s="54"/>
      <c r="H72" s="138">
        <f t="shared" ref="H72:Q72" ca="1" si="13">+H62+H69</f>
        <v>21800</v>
      </c>
      <c r="I72" s="192">
        <f t="shared" ca="1" si="13"/>
        <v>22414</v>
      </c>
      <c r="J72" s="192">
        <f t="shared" ca="1" si="13"/>
        <v>24053.399999999998</v>
      </c>
      <c r="K72" s="192">
        <f t="shared" ca="1" si="13"/>
        <v>23672.729399999997</v>
      </c>
      <c r="L72" s="192">
        <f t="shared" ca="1" si="13"/>
        <v>23715.428709</v>
      </c>
      <c r="M72" s="192">
        <f t="shared" ca="1" si="13"/>
        <v>23726.388274994999</v>
      </c>
      <c r="N72" s="192">
        <f t="shared" ca="1" si="13"/>
        <v>23786.870097187122</v>
      </c>
      <c r="O72" s="192">
        <f t="shared" ca="1" si="13"/>
        <v>24284.143466673475</v>
      </c>
      <c r="P72" s="192">
        <f t="shared" ca="1" si="13"/>
        <v>24439.880143062695</v>
      </c>
      <c r="Q72" s="117">
        <f t="shared" ca="1" si="13"/>
        <v>24816.780460085531</v>
      </c>
      <c r="R72" s="405">
        <f ca="1">+R62+R69+R64</f>
        <v>25208.61382416125</v>
      </c>
      <c r="S72" s="405">
        <f t="shared" ref="S72:AA72" ca="1" si="14">+S62+S69+S64</f>
        <v>24618.81130621412</v>
      </c>
      <c r="T72" s="405">
        <f t="shared" ca="1" si="14"/>
        <v>25111.187532338401</v>
      </c>
      <c r="U72" s="405">
        <f t="shared" ca="1" si="14"/>
        <v>25613.411282985166</v>
      </c>
      <c r="V72" s="405">
        <f t="shared" ca="1" si="14"/>
        <v>26125.679508644873</v>
      </c>
      <c r="W72" s="405">
        <f t="shared" ca="1" si="14"/>
        <v>26648.19309881777</v>
      </c>
      <c r="X72" s="405">
        <f t="shared" ca="1" si="14"/>
        <v>27181.156960794127</v>
      </c>
      <c r="Y72" s="405">
        <f t="shared" ca="1" si="14"/>
        <v>27724.780100010012</v>
      </c>
      <c r="Z72" s="405">
        <f t="shared" ca="1" si="14"/>
        <v>28279.275702010214</v>
      </c>
      <c r="AA72" s="405">
        <f t="shared" ca="1" si="14"/>
        <v>28844.861216050416</v>
      </c>
      <c r="AB72" s="159">
        <f ca="1">SUM(H72:AA72)</f>
        <v>502065.5910830301</v>
      </c>
      <c r="AC72" s="42"/>
    </row>
    <row r="73" spans="1:29" s="266" customFormat="1" ht="18" outlineLevel="1" thickTop="1" x14ac:dyDescent="0.4">
      <c r="A73" s="212"/>
      <c r="B73" s="212"/>
      <c r="C73" s="213" t="s">
        <v>388</v>
      </c>
      <c r="D73" s="213"/>
      <c r="E73" s="213"/>
      <c r="F73" s="213"/>
      <c r="G73" s="213"/>
      <c r="H73" s="264">
        <f t="shared" ref="H73:AA73" si="15">+H78*H77</f>
        <v>0</v>
      </c>
      <c r="I73" s="264">
        <f t="shared" ca="1" si="15"/>
        <v>-13707.843137254902</v>
      </c>
      <c r="J73" s="264">
        <f t="shared" ca="1" si="15"/>
        <v>-73911.956939638607</v>
      </c>
      <c r="K73" s="264">
        <f t="shared" ca="1" si="15"/>
        <v>-46024.907463946751</v>
      </c>
      <c r="L73" s="264">
        <f t="shared" ca="1" si="15"/>
        <v>-47634.394011353099</v>
      </c>
      <c r="M73" s="264">
        <f t="shared" ca="1" si="15"/>
        <v>-44237.704213712757</v>
      </c>
      <c r="N73" s="264">
        <f t="shared" ca="1" si="15"/>
        <v>-18084.425169603986</v>
      </c>
      <c r="O73" s="264">
        <f t="shared" ca="1" si="15"/>
        <v>-38502.265019557562</v>
      </c>
      <c r="P73" s="264">
        <f t="shared" ca="1" si="15"/>
        <v>-25813.81627664492</v>
      </c>
      <c r="Q73" s="264">
        <f t="shared" ca="1" si="15"/>
        <v>-25307.663016318547</v>
      </c>
      <c r="R73" s="264">
        <f t="shared" ca="1" si="15"/>
        <v>-109674.82525520911</v>
      </c>
      <c r="S73" s="264">
        <f t="shared" ca="1" si="15"/>
        <v>-103489.3508183681</v>
      </c>
      <c r="T73" s="264">
        <f t="shared" ca="1" si="15"/>
        <v>-44082.287967243654</v>
      </c>
      <c r="U73" s="264">
        <f t="shared" ca="1" si="15"/>
        <v>-53928.295014634808</v>
      </c>
      <c r="V73" s="264">
        <f t="shared" ca="1" si="15"/>
        <v>-89451.989152155787</v>
      </c>
      <c r="W73" s="264">
        <f t="shared" ca="1" si="15"/>
        <v>-10294.469083990929</v>
      </c>
      <c r="X73" s="264">
        <f t="shared" ca="1" si="15"/>
        <v>0</v>
      </c>
      <c r="Y73" s="264">
        <f t="shared" ca="1" si="15"/>
        <v>-31298.888462588264</v>
      </c>
      <c r="Z73" s="264">
        <f t="shared" ca="1" si="15"/>
        <v>-25814.175995607555</v>
      </c>
      <c r="AA73" s="264">
        <f t="shared" ca="1" si="15"/>
        <v>-203517.11024123302</v>
      </c>
      <c r="AB73" s="160">
        <f ca="1">SUM(H73:AA73)</f>
        <v>-1004776.3672390626</v>
      </c>
      <c r="AC73" s="42"/>
    </row>
    <row r="74" spans="1:29" s="266" customFormat="1" ht="17.25" outlineLevel="1" x14ac:dyDescent="0.4">
      <c r="A74" s="212"/>
      <c r="B74" s="212"/>
      <c r="C74" s="215" t="s">
        <v>389</v>
      </c>
      <c r="D74" s="216"/>
      <c r="E74" s="216"/>
      <c r="F74" s="216"/>
      <c r="G74" s="216"/>
      <c r="H74" s="145">
        <v>0</v>
      </c>
      <c r="I74" s="145">
        <f t="shared" ref="I74:AA74" ca="1" si="16">IF($K$26&lt;=0,$I$26,+IF(I57&lt;$K$26,$I$26,$J$26))</f>
        <v>0.02</v>
      </c>
      <c r="J74" s="145">
        <f t="shared" ca="1" si="16"/>
        <v>0.02</v>
      </c>
      <c r="K74" s="145">
        <f t="shared" ca="1" si="16"/>
        <v>0.02</v>
      </c>
      <c r="L74" s="145">
        <f t="shared" ca="1" si="16"/>
        <v>0.02</v>
      </c>
      <c r="M74" s="145">
        <f t="shared" ca="1" si="16"/>
        <v>0.02</v>
      </c>
      <c r="N74" s="145">
        <f t="shared" ca="1" si="16"/>
        <v>0.02</v>
      </c>
      <c r="O74" s="145">
        <f t="shared" ca="1" si="16"/>
        <v>0.02</v>
      </c>
      <c r="P74" s="145">
        <f t="shared" ca="1" si="16"/>
        <v>0.02</v>
      </c>
      <c r="Q74" s="145">
        <f t="shared" ca="1" si="16"/>
        <v>0.02</v>
      </c>
      <c r="R74" s="145">
        <f t="shared" ca="1" si="16"/>
        <v>0.02</v>
      </c>
      <c r="S74" s="145">
        <f t="shared" ca="1" si="16"/>
        <v>0.02</v>
      </c>
      <c r="T74" s="145">
        <f t="shared" ca="1" si="16"/>
        <v>0.02</v>
      </c>
      <c r="U74" s="145">
        <f t="shared" ca="1" si="16"/>
        <v>0.02</v>
      </c>
      <c r="V74" s="145">
        <f t="shared" ca="1" si="16"/>
        <v>0.02</v>
      </c>
      <c r="W74" s="145">
        <f t="shared" ca="1" si="16"/>
        <v>0.02</v>
      </c>
      <c r="X74" s="145">
        <f t="shared" ca="1" si="16"/>
        <v>0.02</v>
      </c>
      <c r="Y74" s="145">
        <f t="shared" ca="1" si="16"/>
        <v>0.02</v>
      </c>
      <c r="Z74" s="145">
        <f t="shared" ca="1" si="16"/>
        <v>0.02</v>
      </c>
      <c r="AA74" s="145">
        <f t="shared" ca="1" si="16"/>
        <v>0.02</v>
      </c>
      <c r="AB74" s="160"/>
      <c r="AC74" s="42"/>
    </row>
    <row r="75" spans="1:29" s="266" customFormat="1" ht="17.25" outlineLevel="1" x14ac:dyDescent="0.4">
      <c r="A75" s="212"/>
      <c r="B75" s="212"/>
      <c r="C75" s="215" t="s">
        <v>383</v>
      </c>
      <c r="D75" s="216"/>
      <c r="E75" s="216"/>
      <c r="F75" s="216"/>
      <c r="G75" s="216"/>
      <c r="H75" s="145">
        <f>(+H74)</f>
        <v>0</v>
      </c>
      <c r="I75" s="145">
        <f ca="1">+(1+H75)*(1+I74)-1</f>
        <v>2.0000000000000018E-2</v>
      </c>
      <c r="J75" s="145">
        <f t="shared" ref="J75:AA75" ca="1" si="17">+(1+I75)*(1+J74)-1</f>
        <v>4.0399999999999991E-2</v>
      </c>
      <c r="K75" s="145">
        <f t="shared" ca="1" si="17"/>
        <v>6.1207999999999929E-2</v>
      </c>
      <c r="L75" s="145">
        <f t="shared" ca="1" si="17"/>
        <v>8.2432159999999977E-2</v>
      </c>
      <c r="M75" s="145">
        <f t="shared" ca="1" si="17"/>
        <v>0.10408080320000002</v>
      </c>
      <c r="N75" s="145">
        <f t="shared" ca="1" si="17"/>
        <v>0.12616241926400007</v>
      </c>
      <c r="O75" s="145">
        <f t="shared" ca="1" si="17"/>
        <v>0.14868566764928004</v>
      </c>
      <c r="P75" s="145">
        <f t="shared" ca="1" si="17"/>
        <v>0.17165938100226574</v>
      </c>
      <c r="Q75" s="145">
        <f t="shared" ca="1" si="17"/>
        <v>0.19509256862231106</v>
      </c>
      <c r="R75" s="145">
        <f t="shared" ca="1" si="17"/>
        <v>0.21899441999475733</v>
      </c>
      <c r="S75" s="145">
        <f t="shared" ca="1" si="17"/>
        <v>0.24337430839465246</v>
      </c>
      <c r="T75" s="145">
        <f t="shared" ca="1" si="17"/>
        <v>0.26824179456254549</v>
      </c>
      <c r="U75" s="145">
        <f t="shared" ca="1" si="17"/>
        <v>0.29360663045379631</v>
      </c>
      <c r="V75" s="145">
        <f t="shared" ca="1" si="17"/>
        <v>0.31947876306287237</v>
      </c>
      <c r="W75" s="145">
        <f t="shared" ca="1" si="17"/>
        <v>0.34586833832412989</v>
      </c>
      <c r="X75" s="145">
        <f t="shared" ca="1" si="17"/>
        <v>0.37278570509061248</v>
      </c>
      <c r="Y75" s="145">
        <f t="shared" ca="1" si="17"/>
        <v>0.40024141919242484</v>
      </c>
      <c r="Z75" s="145">
        <f t="shared" ca="1" si="17"/>
        <v>0.42824624757627339</v>
      </c>
      <c r="AA75" s="145">
        <f t="shared" ca="1" si="17"/>
        <v>0.45681117252779879</v>
      </c>
      <c r="AB75" s="160"/>
      <c r="AC75" s="42"/>
    </row>
    <row r="76" spans="1:29" s="266" customFormat="1" ht="17.25" outlineLevel="1" x14ac:dyDescent="0.4">
      <c r="A76" s="212"/>
      <c r="B76" s="212"/>
      <c r="C76" s="215" t="s">
        <v>390</v>
      </c>
      <c r="D76" s="216"/>
      <c r="E76" s="216"/>
      <c r="F76" s="216"/>
      <c r="G76" s="216"/>
      <c r="H76" s="265">
        <f>+H73*H75</f>
        <v>0</v>
      </c>
      <c r="I76" s="265">
        <f t="shared" ref="I76:AA76" ca="1" si="18">+I73*I75</f>
        <v>-274.15686274509829</v>
      </c>
      <c r="J76" s="265">
        <f t="shared" ca="1" si="18"/>
        <v>-2986.0430603613991</v>
      </c>
      <c r="K76" s="265">
        <f t="shared" ca="1" si="18"/>
        <v>-2817.0925360532497</v>
      </c>
      <c r="L76" s="265">
        <f t="shared" ca="1" si="18"/>
        <v>-3926.6059886468993</v>
      </c>
      <c r="M76" s="265">
        <f t="shared" ca="1" si="18"/>
        <v>-4604.295786287249</v>
      </c>
      <c r="N76" s="265">
        <f t="shared" ca="1" si="18"/>
        <v>-2281.5748303960136</v>
      </c>
      <c r="O76" s="265">
        <f t="shared" ca="1" si="18"/>
        <v>-5724.7349804424366</v>
      </c>
      <c r="P76" s="265">
        <f t="shared" ca="1" si="18"/>
        <v>-4431.1837233550796</v>
      </c>
      <c r="Q76" s="265">
        <f t="shared" ca="1" si="18"/>
        <v>-4937.33698368145</v>
      </c>
      <c r="R76" s="265">
        <f t="shared" ca="1" si="18"/>
        <v>-24018.174744790882</v>
      </c>
      <c r="S76" s="265">
        <f t="shared" ca="1" si="18"/>
        <v>-25186.649181631896</v>
      </c>
      <c r="T76" s="265">
        <f t="shared" ca="1" si="18"/>
        <v>-11824.712032756343</v>
      </c>
      <c r="U76" s="265">
        <f t="shared" ca="1" si="18"/>
        <v>-15833.704985365188</v>
      </c>
      <c r="V76" s="265">
        <f t="shared" ca="1" si="18"/>
        <v>-28578.010847844209</v>
      </c>
      <c r="W76" s="265">
        <f t="shared" ca="1" si="18"/>
        <v>-3560.5309160090701</v>
      </c>
      <c r="X76" s="265">
        <f t="shared" ca="1" si="18"/>
        <v>0</v>
      </c>
      <c r="Y76" s="265">
        <f t="shared" ca="1" si="18"/>
        <v>-12527.111537411738</v>
      </c>
      <c r="Z76" s="265">
        <f t="shared" ca="1" si="18"/>
        <v>-11054.824004392447</v>
      </c>
      <c r="AA76" s="265">
        <f t="shared" ca="1" si="18"/>
        <v>-92968.889758766949</v>
      </c>
      <c r="AB76" s="160">
        <f ca="1">SUM(H76:AA76)</f>
        <v>-257535.63276093762</v>
      </c>
      <c r="AC76" s="42"/>
    </row>
    <row r="77" spans="1:29" s="266" customFormat="1" ht="17.25" outlineLevel="1" x14ac:dyDescent="0.4">
      <c r="A77" s="212"/>
      <c r="B77" s="212"/>
      <c r="C77" s="215" t="s">
        <v>391</v>
      </c>
      <c r="D77" s="216"/>
      <c r="E77" s="216"/>
      <c r="F77" s="216"/>
      <c r="G77" s="216"/>
      <c r="H77" s="263">
        <f t="shared" ref="H77:AA77" si="19">1/(1+H75)</f>
        <v>1</v>
      </c>
      <c r="I77" s="263">
        <f t="shared" ca="1" si="19"/>
        <v>0.98039215686274506</v>
      </c>
      <c r="J77" s="263">
        <f t="shared" ca="1" si="19"/>
        <v>0.96116878123798544</v>
      </c>
      <c r="K77" s="263">
        <f t="shared" ca="1" si="19"/>
        <v>0.94232233454704462</v>
      </c>
      <c r="L77" s="263">
        <f t="shared" ca="1" si="19"/>
        <v>0.9238454260265142</v>
      </c>
      <c r="M77" s="263">
        <f t="shared" ca="1" si="19"/>
        <v>0.90573080982991594</v>
      </c>
      <c r="N77" s="263">
        <f t="shared" ca="1" si="19"/>
        <v>0.88797138218619198</v>
      </c>
      <c r="O77" s="263">
        <f t="shared" ca="1" si="19"/>
        <v>0.87056017861391377</v>
      </c>
      <c r="P77" s="263">
        <f t="shared" ca="1" si="19"/>
        <v>0.8534903711901114</v>
      </c>
      <c r="Q77" s="263">
        <f t="shared" ca="1" si="19"/>
        <v>0.83675526587265825</v>
      </c>
      <c r="R77" s="263">
        <f t="shared" ca="1" si="19"/>
        <v>0.82034829987515512</v>
      </c>
      <c r="S77" s="263">
        <f t="shared" ca="1" si="19"/>
        <v>0.80426303909328933</v>
      </c>
      <c r="T77" s="263">
        <f t="shared" ca="1" si="19"/>
        <v>0.78849317558165621</v>
      </c>
      <c r="U77" s="263">
        <f t="shared" ca="1" si="19"/>
        <v>0.77303252508005516</v>
      </c>
      <c r="V77" s="263">
        <f t="shared" ca="1" si="19"/>
        <v>0.75787502458828937</v>
      </c>
      <c r="W77" s="263">
        <f t="shared" ca="1" si="19"/>
        <v>0.74301472998851892</v>
      </c>
      <c r="X77" s="263">
        <f t="shared" ca="1" si="19"/>
        <v>0.72844581371423422</v>
      </c>
      <c r="Y77" s="263">
        <f t="shared" ca="1" si="19"/>
        <v>0.71416256246493548</v>
      </c>
      <c r="Z77" s="263">
        <f t="shared" ca="1" si="19"/>
        <v>0.70015937496562297</v>
      </c>
      <c r="AA77" s="263">
        <f t="shared" ca="1" si="19"/>
        <v>0.68643075977021861</v>
      </c>
      <c r="AB77" s="160"/>
      <c r="AC77" s="42"/>
    </row>
    <row r="78" spans="1:29" ht="17.25" x14ac:dyDescent="0.4">
      <c r="A78" s="128"/>
      <c r="B78" s="48"/>
      <c r="C78" s="109" t="s">
        <v>112</v>
      </c>
      <c r="D78" s="1"/>
      <c r="E78" s="1"/>
      <c r="F78" s="1"/>
      <c r="G78" s="1"/>
      <c r="H78" s="148">
        <f>-'eTool Data'!F7</f>
        <v>0</v>
      </c>
      <c r="I78" s="148">
        <f>-'eTool Data'!G7</f>
        <v>-13982</v>
      </c>
      <c r="J78" s="148">
        <f>-'eTool Data'!H7</f>
        <v>-76898</v>
      </c>
      <c r="K78" s="148">
        <f>-'eTool Data'!I7</f>
        <v>-48842</v>
      </c>
      <c r="L78" s="148">
        <f>-'eTool Data'!J7</f>
        <v>-51561</v>
      </c>
      <c r="M78" s="148">
        <f>-'eTool Data'!K7</f>
        <v>-48842</v>
      </c>
      <c r="N78" s="148">
        <f>-'eTool Data'!L7</f>
        <v>-20366</v>
      </c>
      <c r="O78" s="148">
        <f>-'eTool Data'!M7</f>
        <v>-44227</v>
      </c>
      <c r="P78" s="148">
        <f>-'eTool Data'!N7</f>
        <v>-30245</v>
      </c>
      <c r="Q78" s="148">
        <f>-'eTool Data'!O7</f>
        <v>-30245</v>
      </c>
      <c r="R78" s="148">
        <f>-'eTool Data'!P7</f>
        <v>-133693</v>
      </c>
      <c r="S78" s="148">
        <f>-'eTool Data'!Q7</f>
        <v>-128676</v>
      </c>
      <c r="T78" s="148">
        <f>-'eTool Data'!R7</f>
        <v>-55907</v>
      </c>
      <c r="U78" s="148">
        <f>-'eTool Data'!S7</f>
        <v>-69762</v>
      </c>
      <c r="V78" s="148">
        <f>-'eTool Data'!T7</f>
        <v>-118030</v>
      </c>
      <c r="W78" s="148">
        <f>-'eTool Data'!U7</f>
        <v>-13855</v>
      </c>
      <c r="X78" s="148">
        <f>-'eTool Data'!V7</f>
        <v>0</v>
      </c>
      <c r="Y78" s="148">
        <f>-'eTool Data'!W7</f>
        <v>-43826</v>
      </c>
      <c r="Z78" s="148">
        <f>-'eTool Data'!X7</f>
        <v>-36869</v>
      </c>
      <c r="AA78" s="148">
        <f>-'eTool Data'!Y7</f>
        <v>-296486</v>
      </c>
      <c r="AB78" s="160">
        <f>SUM(H78:AA78)</f>
        <v>-1262312</v>
      </c>
      <c r="AC78" s="42"/>
    </row>
    <row r="79" spans="1:29" ht="17.25" x14ac:dyDescent="0.4">
      <c r="A79" s="128"/>
      <c r="B79" s="48"/>
      <c r="C79" s="109" t="s">
        <v>223</v>
      </c>
      <c r="D79" s="1"/>
      <c r="E79" s="1"/>
      <c r="F79" s="1"/>
      <c r="G79" s="1"/>
      <c r="H79" s="52">
        <f t="shared" ref="H79:AA79" ca="1" si="20">+H70+H78</f>
        <v>221800</v>
      </c>
      <c r="I79" s="52">
        <f t="shared" ca="1" si="20"/>
        <v>230232</v>
      </c>
      <c r="J79" s="52">
        <f t="shared" ca="1" si="20"/>
        <v>177387.4</v>
      </c>
      <c r="K79" s="52">
        <f t="shared" ca="1" si="20"/>
        <v>152218.12939999998</v>
      </c>
      <c r="L79" s="52">
        <f t="shared" ca="1" si="20"/>
        <v>124372.55810899998</v>
      </c>
      <c r="M79" s="52">
        <f t="shared" ca="1" si="20"/>
        <v>99256.946383994975</v>
      </c>
      <c r="N79" s="52">
        <f t="shared" ca="1" si="20"/>
        <v>102677.81648118209</v>
      </c>
      <c r="O79" s="52">
        <f t="shared" ca="1" si="20"/>
        <v>82734.959947855561</v>
      </c>
      <c r="P79" s="52">
        <f t="shared" ca="1" si="20"/>
        <v>76929.840090918253</v>
      </c>
      <c r="Q79" s="173">
        <f t="shared" ca="1" si="20"/>
        <v>71501.620551003783</v>
      </c>
      <c r="R79" s="52">
        <f t="shared" ca="1" si="20"/>
        <v>-36982.765624834967</v>
      </c>
      <c r="S79" s="52">
        <f t="shared" ca="1" si="20"/>
        <v>-141039.95431862085</v>
      </c>
      <c r="T79" s="52">
        <f t="shared" ca="1" si="20"/>
        <v>-171835.76678628245</v>
      </c>
      <c r="U79" s="52">
        <f t="shared" ca="1" si="20"/>
        <v>-215984.35550329729</v>
      </c>
      <c r="V79" s="52">
        <f t="shared" ca="1" si="20"/>
        <v>-307888.67599465244</v>
      </c>
      <c r="W79" s="52">
        <f t="shared" ca="1" si="20"/>
        <v>-295095.48289583466</v>
      </c>
      <c r="X79" s="52">
        <f t="shared" ca="1" si="20"/>
        <v>-267914.32593504054</v>
      </c>
      <c r="Y79" s="52">
        <f t="shared" ca="1" si="20"/>
        <v>-284015.5458350305</v>
      </c>
      <c r="Z79" s="52">
        <f t="shared" ca="1" si="20"/>
        <v>-292605.2701330203</v>
      </c>
      <c r="AA79" s="52">
        <f t="shared" ca="1" si="20"/>
        <v>-560246.4089169699</v>
      </c>
      <c r="AB79" s="160"/>
      <c r="AC79" s="42"/>
    </row>
    <row r="80" spans="1:29" ht="17.25" x14ac:dyDescent="0.4">
      <c r="A80" s="128"/>
      <c r="B80" s="48"/>
      <c r="C80" s="1"/>
      <c r="D80" s="1"/>
      <c r="E80" s="1"/>
      <c r="F80" s="116" t="s">
        <v>392</v>
      </c>
      <c r="G80" s="84">
        <f ca="1">+MIN(H79:Q79)</f>
        <v>71501.620551003783</v>
      </c>
      <c r="AB80" s="160"/>
      <c r="AC80" s="42"/>
    </row>
    <row r="81" spans="1:32 16372:16384" ht="17.25" x14ac:dyDescent="0.4">
      <c r="A81" s="128"/>
      <c r="B81" s="48"/>
      <c r="C81" s="1"/>
      <c r="D81" s="1"/>
      <c r="E81" s="1"/>
      <c r="F81" s="116" t="s">
        <v>393</v>
      </c>
      <c r="G81" s="84">
        <f ca="1">+MIN(R79:AA79)</f>
        <v>-560246.4089169699</v>
      </c>
      <c r="H81" s="52"/>
      <c r="I81" s="262"/>
      <c r="J81" s="262"/>
      <c r="K81" s="262"/>
      <c r="L81" s="262"/>
      <c r="M81" s="262"/>
      <c r="N81" s="262"/>
      <c r="O81" s="262"/>
      <c r="P81" s="262"/>
      <c r="Q81" s="262"/>
      <c r="R81" s="262"/>
      <c r="S81" s="262"/>
      <c r="T81" s="262"/>
      <c r="U81" s="262"/>
      <c r="V81" s="262"/>
      <c r="W81" s="262"/>
      <c r="X81" s="262"/>
      <c r="Y81" s="262"/>
      <c r="Z81" s="262"/>
      <c r="AA81" s="262"/>
      <c r="AB81" s="160"/>
      <c r="AC81" s="42"/>
      <c r="AF81" s="88"/>
    </row>
    <row r="82" spans="1:32 16372:16384" hidden="1" outlineLevel="1" x14ac:dyDescent="0.25">
      <c r="A82" s="128"/>
      <c r="B82" s="48"/>
      <c r="C82" s="85"/>
      <c r="D82" s="85"/>
      <c r="E82" s="85"/>
      <c r="F82" s="85"/>
      <c r="G82" s="85"/>
      <c r="H82" s="85"/>
      <c r="I82" s="1"/>
      <c r="J82" s="1"/>
      <c r="K82" s="1"/>
      <c r="L82" s="1"/>
      <c r="M82" s="1"/>
      <c r="N82" s="1"/>
      <c r="O82" s="1"/>
      <c r="P82" s="1"/>
      <c r="Q82" s="49"/>
      <c r="R82" s="1"/>
      <c r="S82" s="1"/>
      <c r="T82" s="1"/>
      <c r="U82" s="1"/>
      <c r="V82" s="1"/>
      <c r="W82" s="1"/>
      <c r="X82" s="1"/>
      <c r="Y82" s="1"/>
      <c r="Z82" s="1"/>
      <c r="AA82" s="1"/>
      <c r="AB82" s="103"/>
      <c r="AC82" s="42"/>
    </row>
    <row r="83" spans="1:32 16372:16384" hidden="1" outlineLevel="1" x14ac:dyDescent="0.25">
      <c r="A83" s="128"/>
      <c r="B83" s="48"/>
      <c r="C83" s="151" t="s">
        <v>394</v>
      </c>
      <c r="D83" s="1"/>
      <c r="E83" s="1"/>
      <c r="F83" s="1"/>
      <c r="G83" s="1"/>
      <c r="H83" s="1"/>
      <c r="I83" s="1"/>
      <c r="J83" s="1"/>
      <c r="K83" s="1"/>
      <c r="L83" s="1"/>
      <c r="M83" s="51"/>
      <c r="N83" s="1"/>
      <c r="O83" s="1"/>
      <c r="P83" s="1"/>
      <c r="Q83" s="49"/>
      <c r="S83" s="1"/>
      <c r="T83" s="1"/>
      <c r="U83" s="1"/>
      <c r="V83" s="1"/>
      <c r="W83" s="1"/>
      <c r="X83" s="1"/>
      <c r="Y83" s="1"/>
      <c r="Z83" s="1"/>
      <c r="AA83" s="1"/>
      <c r="AB83" s="64">
        <f>+-MIN(H78:AA78)</f>
        <v>296486</v>
      </c>
      <c r="AC83" s="42"/>
    </row>
    <row r="84" spans="1:32 16372:16384" collapsed="1" x14ac:dyDescent="0.25">
      <c r="A84" s="128"/>
      <c r="B84" s="48"/>
      <c r="C84" s="1"/>
      <c r="D84" s="1"/>
      <c r="E84" s="1"/>
      <c r="F84" s="1"/>
      <c r="G84" s="1"/>
      <c r="H84" s="1"/>
      <c r="I84" s="1"/>
      <c r="J84" s="1"/>
      <c r="K84" s="1"/>
      <c r="L84" s="1"/>
      <c r="M84" s="1"/>
      <c r="N84" s="1"/>
      <c r="O84" s="1"/>
      <c r="P84" s="1"/>
      <c r="Q84" s="49"/>
      <c r="R84" s="1"/>
      <c r="S84" s="1"/>
      <c r="T84" s="1"/>
      <c r="U84" s="1"/>
      <c r="V84" s="1"/>
      <c r="W84" s="1"/>
      <c r="X84" s="1"/>
      <c r="Y84" s="1"/>
      <c r="Z84" s="1"/>
      <c r="AA84" s="1"/>
      <c r="AB84" s="103"/>
      <c r="AC84" s="42"/>
    </row>
    <row r="85" spans="1:32 16372:16384" ht="17.25" x14ac:dyDescent="0.4">
      <c r="A85" s="128"/>
      <c r="B85" s="48"/>
      <c r="C85" s="53" t="s">
        <v>395</v>
      </c>
      <c r="D85" s="53"/>
      <c r="E85" s="53"/>
      <c r="F85" s="53"/>
      <c r="G85" s="53"/>
      <c r="H85" s="152">
        <f t="shared" ref="H85:AA85" ca="1" si="21">+H79-H60</f>
        <v>21800</v>
      </c>
      <c r="I85" s="152">
        <f t="shared" ca="1" si="21"/>
        <v>8432</v>
      </c>
      <c r="J85" s="152">
        <f t="shared" ca="1" si="21"/>
        <v>-52844.600000000006</v>
      </c>
      <c r="K85" s="152">
        <f t="shared" ca="1" si="21"/>
        <v>-25169.270600000018</v>
      </c>
      <c r="L85" s="152">
        <f t="shared" ca="1" si="21"/>
        <v>-27845.571291</v>
      </c>
      <c r="M85" s="152">
        <f t="shared" ca="1" si="21"/>
        <v>-25115.611725005001</v>
      </c>
      <c r="N85" s="152">
        <f t="shared" ca="1" si="21"/>
        <v>3420.8700971871149</v>
      </c>
      <c r="O85" s="152">
        <f t="shared" ca="1" si="21"/>
        <v>-19942.856533326529</v>
      </c>
      <c r="P85" s="152">
        <f t="shared" ca="1" si="21"/>
        <v>-5805.1198569373082</v>
      </c>
      <c r="Q85" s="174">
        <f t="shared" ca="1" si="21"/>
        <v>-5428.2195399144694</v>
      </c>
      <c r="R85" s="152">
        <f t="shared" ca="1" si="21"/>
        <v>-108484.38617583875</v>
      </c>
      <c r="S85" s="152">
        <f t="shared" ca="1" si="21"/>
        <v>-104057.18869378588</v>
      </c>
      <c r="T85" s="152">
        <f t="shared" ca="1" si="21"/>
        <v>-30795.812467661599</v>
      </c>
      <c r="U85" s="152">
        <f t="shared" ca="1" si="21"/>
        <v>-44148.588717014849</v>
      </c>
      <c r="V85" s="152">
        <f t="shared" ca="1" si="21"/>
        <v>-91904.320491355145</v>
      </c>
      <c r="W85" s="152">
        <f t="shared" ca="1" si="21"/>
        <v>12793.193098817777</v>
      </c>
      <c r="X85" s="152">
        <f t="shared" ca="1" si="21"/>
        <v>27181.15696079412</v>
      </c>
      <c r="Y85" s="152">
        <f t="shared" ca="1" si="21"/>
        <v>-16101.219899989956</v>
      </c>
      <c r="Z85" s="152">
        <f t="shared" ca="1" si="21"/>
        <v>-8589.7242979898001</v>
      </c>
      <c r="AA85" s="152">
        <f t="shared" ca="1" si="21"/>
        <v>-267641.1387839496</v>
      </c>
      <c r="AB85" s="161">
        <f ca="1">SUM(H85:AA85)</f>
        <v>-760246.4089169699</v>
      </c>
      <c r="AC85" s="42"/>
    </row>
    <row r="86" spans="1:32 16372:16384" x14ac:dyDescent="0.25">
      <c r="A86" s="128"/>
      <c r="B86" s="48"/>
      <c r="C86" s="1"/>
      <c r="D86" s="1"/>
      <c r="E86" s="1"/>
      <c r="F86" s="1"/>
      <c r="G86" s="1"/>
      <c r="H86" s="1"/>
      <c r="I86" s="1"/>
      <c r="J86" s="1"/>
      <c r="K86" s="1"/>
      <c r="L86" s="1"/>
      <c r="M86" s="1"/>
      <c r="N86" s="1"/>
      <c r="O86" s="1"/>
      <c r="P86" s="1"/>
      <c r="Q86" s="49"/>
      <c r="R86" s="1"/>
      <c r="S86" s="1"/>
      <c r="T86" s="1"/>
      <c r="U86" s="1"/>
      <c r="V86" s="1"/>
      <c r="W86" s="1"/>
      <c r="X86" s="1"/>
      <c r="Y86" s="1"/>
      <c r="Z86" s="1"/>
      <c r="AA86" s="1"/>
      <c r="AB86" s="103"/>
      <c r="AC86" s="42"/>
    </row>
    <row r="87" spans="1:32 16372:16384" x14ac:dyDescent="0.25">
      <c r="A87" s="128"/>
      <c r="B87" s="48"/>
      <c r="C87" s="1" t="s">
        <v>396</v>
      </c>
      <c r="D87" s="1"/>
      <c r="E87" s="1"/>
      <c r="F87" s="1"/>
      <c r="G87" s="1"/>
      <c r="H87" s="102"/>
      <c r="I87" s="1"/>
      <c r="J87" s="1"/>
      <c r="K87" s="1"/>
      <c r="L87" s="1"/>
      <c r="M87" s="1"/>
      <c r="N87" s="1"/>
      <c r="O87" s="1"/>
      <c r="P87" s="1"/>
      <c r="Q87" s="49"/>
      <c r="R87" s="1"/>
      <c r="S87" s="1"/>
      <c r="T87" s="1"/>
      <c r="U87" s="1"/>
      <c r="V87" s="1"/>
      <c r="W87" s="1"/>
      <c r="X87" s="1"/>
      <c r="Y87" s="1"/>
      <c r="Z87" s="1"/>
      <c r="AA87" s="1"/>
      <c r="AB87" s="103"/>
      <c r="AC87" s="42"/>
    </row>
    <row r="88" spans="1:32 16372:16384" ht="39" x14ac:dyDescent="0.25">
      <c r="A88" s="128"/>
      <c r="B88" s="48"/>
      <c r="C88" s="153" t="s">
        <v>397</v>
      </c>
      <c r="D88" s="54"/>
      <c r="E88" s="54"/>
      <c r="F88" s="54"/>
      <c r="G88" s="1"/>
      <c r="H88" s="1"/>
      <c r="I88" s="192"/>
      <c r="J88" s="192"/>
      <c r="K88" s="192"/>
      <c r="L88" s="192"/>
      <c r="M88" s="192"/>
      <c r="N88" s="192"/>
      <c r="O88" s="192"/>
      <c r="P88" s="192"/>
      <c r="Q88" s="117"/>
      <c r="R88" s="192"/>
      <c r="S88" s="192"/>
      <c r="T88" s="192"/>
      <c r="U88" s="192"/>
      <c r="V88" s="192"/>
      <c r="W88" s="192"/>
      <c r="X88" s="192"/>
      <c r="Y88" s="192"/>
      <c r="Z88" s="192"/>
      <c r="AA88" s="192"/>
      <c r="AB88" s="162"/>
      <c r="AC88" s="42"/>
    </row>
    <row r="89" spans="1:32 16372:16384" s="214" customFormat="1" outlineLevel="1" x14ac:dyDescent="0.25">
      <c r="A89" s="212"/>
      <c r="B89" s="212"/>
      <c r="C89" s="225" t="s">
        <v>398</v>
      </c>
      <c r="D89" s="213"/>
      <c r="E89" s="213"/>
      <c r="F89" s="213"/>
      <c r="G89" s="213"/>
      <c r="H89" s="226">
        <f ca="1">+Q28</f>
        <v>-33322.497524803119</v>
      </c>
      <c r="I89" s="226">
        <f t="shared" ref="I89:Q89" ca="1" si="22">+H89</f>
        <v>-33322.497524803119</v>
      </c>
      <c r="J89" s="226">
        <f t="shared" ca="1" si="22"/>
        <v>-33322.497524803119</v>
      </c>
      <c r="K89" s="226">
        <f t="shared" ca="1" si="22"/>
        <v>-33322.497524803119</v>
      </c>
      <c r="L89" s="226">
        <f t="shared" ca="1" si="22"/>
        <v>-33322.497524803119</v>
      </c>
      <c r="M89" s="226">
        <f t="shared" ca="1" si="22"/>
        <v>-33322.497524803119</v>
      </c>
      <c r="N89" s="226">
        <f t="shared" ca="1" si="22"/>
        <v>-33322.497524803119</v>
      </c>
      <c r="O89" s="226">
        <f t="shared" ca="1" si="22"/>
        <v>-33322.497524803119</v>
      </c>
      <c r="P89" s="226">
        <f t="shared" ca="1" si="22"/>
        <v>-33322.497524803119</v>
      </c>
      <c r="Q89" s="227">
        <f t="shared" ca="1" si="22"/>
        <v>-33322.497524803119</v>
      </c>
      <c r="R89" s="228" t="s">
        <v>399</v>
      </c>
      <c r="S89" s="228" t="s">
        <v>399</v>
      </c>
      <c r="T89" s="228" t="s">
        <v>399</v>
      </c>
      <c r="U89" s="228" t="s">
        <v>399</v>
      </c>
      <c r="V89" s="228" t="s">
        <v>399</v>
      </c>
      <c r="W89" s="228" t="s">
        <v>399</v>
      </c>
      <c r="X89" s="228" t="s">
        <v>399</v>
      </c>
      <c r="Y89" s="228" t="s">
        <v>399</v>
      </c>
      <c r="Z89" s="228" t="s">
        <v>399</v>
      </c>
      <c r="AA89" s="228" t="s">
        <v>399</v>
      </c>
      <c r="AB89" s="229"/>
      <c r="XER89" s="266"/>
      <c r="XES89" s="266"/>
      <c r="XET89" s="266"/>
      <c r="XEU89" s="266"/>
      <c r="XEV89" s="266"/>
      <c r="XEW89" s="266"/>
      <c r="XEX89" s="266"/>
      <c r="XEY89" s="266"/>
      <c r="XEZ89" s="266"/>
      <c r="XFA89" s="266"/>
      <c r="XFB89" s="266"/>
      <c r="XFC89" s="266"/>
      <c r="XFD89" s="266"/>
    </row>
    <row r="90" spans="1:32 16372:16384" s="214" customFormat="1" outlineLevel="1" x14ac:dyDescent="0.25">
      <c r="A90" s="212"/>
      <c r="B90" s="212"/>
      <c r="C90" s="225" t="str">
        <f>+C74</f>
        <v>Needs Inflation rate</v>
      </c>
      <c r="D90" s="213"/>
      <c r="E90" s="213"/>
      <c r="F90" s="213"/>
      <c r="G90" s="213"/>
      <c r="H90" s="217">
        <f>+H74</f>
        <v>0</v>
      </c>
      <c r="I90" s="217">
        <f ca="1">+I74</f>
        <v>0.02</v>
      </c>
      <c r="J90" s="217">
        <f t="shared" ref="J90:Q90" ca="1" si="23">+J74</f>
        <v>0.02</v>
      </c>
      <c r="K90" s="217">
        <f t="shared" ca="1" si="23"/>
        <v>0.02</v>
      </c>
      <c r="L90" s="217">
        <f t="shared" ca="1" si="23"/>
        <v>0.02</v>
      </c>
      <c r="M90" s="217">
        <f t="shared" ca="1" si="23"/>
        <v>0.02</v>
      </c>
      <c r="N90" s="217">
        <f t="shared" ca="1" si="23"/>
        <v>0.02</v>
      </c>
      <c r="O90" s="217">
        <f t="shared" ca="1" si="23"/>
        <v>0.02</v>
      </c>
      <c r="P90" s="217">
        <f t="shared" ca="1" si="23"/>
        <v>0.02</v>
      </c>
      <c r="Q90" s="218">
        <f t="shared" ca="1" si="23"/>
        <v>0.02</v>
      </c>
      <c r="R90" s="217"/>
      <c r="S90" s="217"/>
      <c r="T90" s="217"/>
      <c r="U90" s="217"/>
      <c r="V90" s="217"/>
      <c r="W90" s="217"/>
      <c r="X90" s="217"/>
      <c r="Y90" s="217"/>
      <c r="Z90" s="217"/>
      <c r="AA90" s="217"/>
      <c r="AB90" s="229"/>
      <c r="XER90" s="266"/>
      <c r="XES90" s="266"/>
      <c r="XET90" s="266"/>
      <c r="XEU90" s="266"/>
      <c r="XEV90" s="266"/>
      <c r="XEW90" s="266"/>
      <c r="XEX90" s="266"/>
      <c r="XEY90" s="266"/>
      <c r="XEZ90" s="266"/>
      <c r="XFA90" s="266"/>
      <c r="XFB90" s="266"/>
      <c r="XFC90" s="266"/>
      <c r="XFD90" s="266"/>
    </row>
    <row r="91" spans="1:32 16372:16384" s="214" customFormat="1" outlineLevel="1" x14ac:dyDescent="0.25">
      <c r="A91" s="212"/>
      <c r="B91" s="212"/>
      <c r="C91" s="225" t="str">
        <f>+C75</f>
        <v>Calculated cumulative inflation</v>
      </c>
      <c r="D91" s="213"/>
      <c r="E91" s="230" t="s">
        <v>400</v>
      </c>
      <c r="F91" s="213"/>
      <c r="G91" s="213"/>
      <c r="H91" s="217">
        <f>+H90</f>
        <v>0</v>
      </c>
      <c r="I91" s="217">
        <f ca="1">+(1+H91)*(1+I90)-1</f>
        <v>2.0000000000000018E-2</v>
      </c>
      <c r="J91" s="217">
        <f t="shared" ref="J91:Q91" ca="1" si="24">+(1+I91)*(1+J90)-1</f>
        <v>4.0399999999999991E-2</v>
      </c>
      <c r="K91" s="217">
        <f t="shared" ca="1" si="24"/>
        <v>6.1207999999999929E-2</v>
      </c>
      <c r="L91" s="217">
        <f t="shared" ca="1" si="24"/>
        <v>8.2432159999999977E-2</v>
      </c>
      <c r="M91" s="217">
        <f t="shared" ca="1" si="24"/>
        <v>0.10408080320000002</v>
      </c>
      <c r="N91" s="217">
        <f t="shared" ca="1" si="24"/>
        <v>0.12616241926400007</v>
      </c>
      <c r="O91" s="217">
        <f t="shared" ca="1" si="24"/>
        <v>0.14868566764928004</v>
      </c>
      <c r="P91" s="217">
        <f t="shared" ca="1" si="24"/>
        <v>0.17165938100226574</v>
      </c>
      <c r="Q91" s="218">
        <f t="shared" ca="1" si="24"/>
        <v>0.19509256862231106</v>
      </c>
      <c r="R91" s="217"/>
      <c r="S91" s="217"/>
      <c r="T91" s="217"/>
      <c r="U91" s="217"/>
      <c r="V91" s="217"/>
      <c r="W91" s="217"/>
      <c r="X91" s="217"/>
      <c r="Y91" s="217"/>
      <c r="Z91" s="217"/>
      <c r="AA91" s="217"/>
      <c r="AB91" s="229"/>
      <c r="XER91" s="266"/>
      <c r="XES91" s="266"/>
      <c r="XET91" s="266"/>
      <c r="XEU91" s="266"/>
      <c r="XEV91" s="266"/>
      <c r="XEW91" s="266"/>
      <c r="XEX91" s="266"/>
      <c r="XEY91" s="266"/>
      <c r="XEZ91" s="266"/>
      <c r="XFA91" s="266"/>
      <c r="XFB91" s="266"/>
      <c r="XFC91" s="266"/>
      <c r="XFD91" s="266"/>
    </row>
    <row r="92" spans="1:32 16372:16384" s="214" customFormat="1" outlineLevel="1" x14ac:dyDescent="0.25">
      <c r="A92" s="212"/>
      <c r="B92" s="212"/>
      <c r="C92" s="225" t="str">
        <f>+C76</f>
        <v>Inflation in Needs Amount</v>
      </c>
      <c r="D92" s="1151" t="s">
        <v>401</v>
      </c>
      <c r="E92" s="1151"/>
      <c r="F92" s="1151"/>
      <c r="G92" s="231" t="s">
        <v>402</v>
      </c>
      <c r="H92" s="232">
        <f ca="1">+H89*H91</f>
        <v>0</v>
      </c>
      <c r="I92" s="232">
        <f t="shared" ref="I92:Q92" ca="1" si="25">+I89*I91</f>
        <v>-666.44995049606291</v>
      </c>
      <c r="J92" s="232">
        <f t="shared" ca="1" si="25"/>
        <v>-1346.2289000020457</v>
      </c>
      <c r="K92" s="232">
        <f t="shared" ca="1" si="25"/>
        <v>-2039.603428498147</v>
      </c>
      <c r="L92" s="232">
        <f t="shared" ca="1" si="25"/>
        <v>-2746.8454475641738</v>
      </c>
      <c r="M92" s="232">
        <f t="shared" ca="1" si="25"/>
        <v>-3468.2323070115212</v>
      </c>
      <c r="N92" s="232">
        <f t="shared" ca="1" si="25"/>
        <v>-4204.0469036478153</v>
      </c>
      <c r="O92" s="232">
        <f t="shared" ca="1" si="25"/>
        <v>-4954.5777922168336</v>
      </c>
      <c r="P92" s="232">
        <f t="shared" ca="1" si="25"/>
        <v>-5720.1192985572361</v>
      </c>
      <c r="Q92" s="233">
        <f t="shared" ca="1" si="25"/>
        <v>-6500.9716350244425</v>
      </c>
      <c r="R92" s="234"/>
      <c r="S92" s="234"/>
      <c r="T92" s="234"/>
      <c r="U92" s="234"/>
      <c r="V92" s="234"/>
      <c r="W92" s="234"/>
      <c r="X92" s="234"/>
      <c r="Y92" s="234"/>
      <c r="Z92" s="234"/>
      <c r="AA92" s="234"/>
      <c r="AB92" s="229"/>
      <c r="XER92" s="266"/>
      <c r="XES92" s="266"/>
      <c r="XET92" s="266"/>
      <c r="XEU92" s="266"/>
      <c r="XEV92" s="266"/>
      <c r="XEW92" s="266"/>
      <c r="XEX92" s="266"/>
      <c r="XEY92" s="266"/>
      <c r="XEZ92" s="266"/>
      <c r="XFA92" s="266"/>
      <c r="XFB92" s="266"/>
      <c r="XFC92" s="266"/>
      <c r="XFD92" s="266"/>
    </row>
    <row r="93" spans="1:32 16372:16384" ht="16.5" outlineLevel="1" x14ac:dyDescent="0.35">
      <c r="A93" s="128"/>
      <c r="B93" s="48"/>
      <c r="C93" s="55" t="s">
        <v>403</v>
      </c>
      <c r="D93" s="1149">
        <f ca="1">+'Trial Deposits Engine'!G104</f>
        <v>11566.533142026259</v>
      </c>
      <c r="E93" s="1149"/>
      <c r="F93" s="1149"/>
      <c r="G93" s="187">
        <f ca="1">+D93/(10*'Trial Deposits Analysis'!C35)</f>
        <v>19.27755523671043</v>
      </c>
      <c r="H93" s="120">
        <f ca="1">+H89+H92</f>
        <v>-33322.497524803119</v>
      </c>
      <c r="I93" s="120">
        <f ca="1">+H93</f>
        <v>-33322.497524803119</v>
      </c>
      <c r="J93" s="120">
        <f t="shared" ref="J93:Q93" ca="1" si="26">+I93</f>
        <v>-33322.497524803119</v>
      </c>
      <c r="K93" s="120">
        <f t="shared" ca="1" si="26"/>
        <v>-33322.497524803119</v>
      </c>
      <c r="L93" s="120">
        <f t="shared" ca="1" si="26"/>
        <v>-33322.497524803119</v>
      </c>
      <c r="M93" s="120">
        <f t="shared" ca="1" si="26"/>
        <v>-33322.497524803119</v>
      </c>
      <c r="N93" s="120">
        <f t="shared" ca="1" si="26"/>
        <v>-33322.497524803119</v>
      </c>
      <c r="O93" s="120">
        <f t="shared" ca="1" si="26"/>
        <v>-33322.497524803119</v>
      </c>
      <c r="P93" s="120">
        <f t="shared" ca="1" si="26"/>
        <v>-33322.497524803119</v>
      </c>
      <c r="Q93" s="120">
        <f t="shared" ca="1" si="26"/>
        <v>-33322.497524803119</v>
      </c>
      <c r="R93" s="192"/>
      <c r="S93" s="56"/>
      <c r="T93" s="56"/>
      <c r="U93" s="56"/>
      <c r="V93" s="56"/>
      <c r="W93" s="56"/>
      <c r="X93" s="56"/>
      <c r="Y93" s="56"/>
      <c r="Z93" s="56"/>
      <c r="AA93" s="56"/>
      <c r="AB93" s="123"/>
      <c r="AC93" s="42"/>
    </row>
    <row r="94" spans="1:32 16372:16384" outlineLevel="1" x14ac:dyDescent="0.25">
      <c r="A94" s="128"/>
      <c r="B94" s="48"/>
      <c r="C94" s="83" t="s">
        <v>404</v>
      </c>
      <c r="D94" s="1"/>
      <c r="E94" s="1"/>
      <c r="F94" s="81"/>
      <c r="G94" s="102"/>
      <c r="H94" s="192">
        <f ca="1">+H79-H93</f>
        <v>255122.49752480313</v>
      </c>
      <c r="I94" s="192">
        <f t="shared" ref="I94:Q94" ca="1" si="27">+I79-I93</f>
        <v>263554.4975248031</v>
      </c>
      <c r="J94" s="192">
        <f t="shared" ca="1" si="27"/>
        <v>210709.89752480312</v>
      </c>
      <c r="K94" s="192">
        <f t="shared" ca="1" si="27"/>
        <v>185540.6269248031</v>
      </c>
      <c r="L94" s="192">
        <f t="shared" ca="1" si="27"/>
        <v>157695.0556338031</v>
      </c>
      <c r="M94" s="192">
        <f t="shared" ca="1" si="27"/>
        <v>132579.4439087981</v>
      </c>
      <c r="N94" s="192">
        <f t="shared" ca="1" si="27"/>
        <v>136000.31400598522</v>
      </c>
      <c r="O94" s="192">
        <f t="shared" ca="1" si="27"/>
        <v>116057.45747265869</v>
      </c>
      <c r="P94" s="192">
        <f t="shared" ca="1" si="27"/>
        <v>110252.33761572136</v>
      </c>
      <c r="Q94" s="117">
        <f t="shared" ca="1" si="27"/>
        <v>104824.11807580691</v>
      </c>
      <c r="R94" s="192"/>
      <c r="S94" s="56"/>
      <c r="T94" s="56"/>
      <c r="U94" s="56"/>
      <c r="V94" s="56"/>
      <c r="W94" s="56"/>
      <c r="X94" s="56"/>
      <c r="Y94" s="56"/>
      <c r="Z94" s="56"/>
      <c r="AA94" s="56"/>
      <c r="AB94" s="123"/>
      <c r="AC94" s="42"/>
    </row>
    <row r="95" spans="1:32 16372:16384" outlineLevel="1" x14ac:dyDescent="0.25">
      <c r="A95" s="128"/>
      <c r="B95" s="48"/>
      <c r="H95" s="192"/>
      <c r="I95" s="192"/>
      <c r="J95" s="192"/>
      <c r="K95" s="192"/>
      <c r="L95" s="192"/>
      <c r="M95" s="192"/>
      <c r="N95" s="192"/>
      <c r="O95" s="192"/>
      <c r="P95" s="192"/>
      <c r="Q95" s="117"/>
      <c r="R95" s="192"/>
      <c r="S95" s="56"/>
      <c r="T95" s="56"/>
      <c r="U95" s="56"/>
      <c r="V95" s="56"/>
      <c r="W95" s="56"/>
      <c r="X95" s="56"/>
      <c r="Y95" s="56"/>
      <c r="Z95" s="56"/>
      <c r="AA95" s="56"/>
      <c r="AB95" s="123"/>
      <c r="AC95" s="42"/>
    </row>
    <row r="96" spans="1:32 16372:16384" x14ac:dyDescent="0.25">
      <c r="A96" s="128"/>
      <c r="B96" s="48"/>
      <c r="H96" s="57" t="str">
        <f ca="1">+IF(H79&gt;=H93,"OK","Not OK")</f>
        <v>OK</v>
      </c>
      <c r="I96" s="57" t="str">
        <f t="shared" ref="I96:P96" ca="1" si="28">+IF(I79&gt;=I93,"OK","Not OK")</f>
        <v>OK</v>
      </c>
      <c r="J96" s="57" t="str">
        <f t="shared" ca="1" si="28"/>
        <v>OK</v>
      </c>
      <c r="K96" s="57" t="str">
        <f t="shared" ca="1" si="28"/>
        <v>OK</v>
      </c>
      <c r="L96" s="57" t="str">
        <f t="shared" ca="1" si="28"/>
        <v>OK</v>
      </c>
      <c r="M96" s="57" t="str">
        <f t="shared" ca="1" si="28"/>
        <v>OK</v>
      </c>
      <c r="N96" s="57" t="str">
        <f t="shared" ca="1" si="28"/>
        <v>OK</v>
      </c>
      <c r="O96" s="57" t="str">
        <f t="shared" ca="1" si="28"/>
        <v>OK</v>
      </c>
      <c r="P96" s="57" t="str">
        <f t="shared" ca="1" si="28"/>
        <v>OK</v>
      </c>
      <c r="Q96" s="119" t="str">
        <f ca="1">+IF(Q79&gt;=Q93,"OK","Not OK")</f>
        <v>OK</v>
      </c>
      <c r="R96" s="57" t="s">
        <v>405</v>
      </c>
      <c r="S96" s="57" t="s">
        <v>405</v>
      </c>
      <c r="T96" s="57" t="s">
        <v>405</v>
      </c>
      <c r="U96" s="57" t="s">
        <v>405</v>
      </c>
      <c r="V96" s="57" t="s">
        <v>405</v>
      </c>
      <c r="W96" s="57" t="s">
        <v>405</v>
      </c>
      <c r="X96" s="57" t="s">
        <v>405</v>
      </c>
      <c r="Y96" s="57" t="s">
        <v>405</v>
      </c>
      <c r="Z96" s="57" t="s">
        <v>405</v>
      </c>
      <c r="AA96" s="57" t="s">
        <v>405</v>
      </c>
      <c r="AB96" s="162"/>
      <c r="AC96" s="42"/>
    </row>
    <row r="97" spans="1:29" x14ac:dyDescent="0.25">
      <c r="A97" s="128"/>
      <c r="B97" s="48"/>
      <c r="C97" s="1" t="s">
        <v>406</v>
      </c>
      <c r="D97" s="1"/>
      <c r="E97" s="1"/>
      <c r="F97" s="1"/>
      <c r="G97" s="82"/>
      <c r="H97" s="1"/>
      <c r="I97" s="1"/>
      <c r="J97" s="1"/>
      <c r="K97" s="154"/>
      <c r="L97" s="154"/>
      <c r="M97" s="154"/>
      <c r="N97" s="154"/>
      <c r="O97" s="154"/>
      <c r="P97" s="154"/>
      <c r="Q97" s="175"/>
      <c r="R97" s="154"/>
      <c r="S97" s="154"/>
      <c r="T97" s="154"/>
      <c r="U97" s="154"/>
      <c r="V97" s="154"/>
      <c r="W97" s="154"/>
      <c r="X97" s="154"/>
      <c r="Y97" s="154"/>
      <c r="Z97" s="154"/>
      <c r="AA97" s="154">
        <f ca="1">+(1+$J$26)^(AA57-$K$26)-1</f>
        <v>0.45681117252779813</v>
      </c>
      <c r="AB97" s="103"/>
      <c r="AC97" s="42"/>
    </row>
    <row r="98" spans="1:29" s="266" customFormat="1" outlineLevel="1" x14ac:dyDescent="0.25">
      <c r="A98" s="212"/>
      <c r="B98" s="212"/>
      <c r="C98" s="225" t="s">
        <v>407</v>
      </c>
      <c r="D98" s="213"/>
      <c r="E98" s="213"/>
      <c r="F98" s="213"/>
      <c r="G98" s="213"/>
      <c r="H98" s="226">
        <f>+Q30</f>
        <v>-50151</v>
      </c>
      <c r="I98" s="226">
        <f t="shared" ref="I98:AA98" si="29">+H98</f>
        <v>-50151</v>
      </c>
      <c r="J98" s="226">
        <f t="shared" si="29"/>
        <v>-50151</v>
      </c>
      <c r="K98" s="226">
        <f t="shared" si="29"/>
        <v>-50151</v>
      </c>
      <c r="L98" s="226">
        <f t="shared" si="29"/>
        <v>-50151</v>
      </c>
      <c r="M98" s="226">
        <f t="shared" si="29"/>
        <v>-50151</v>
      </c>
      <c r="N98" s="226">
        <f t="shared" si="29"/>
        <v>-50151</v>
      </c>
      <c r="O98" s="226">
        <f t="shared" si="29"/>
        <v>-50151</v>
      </c>
      <c r="P98" s="226">
        <f t="shared" si="29"/>
        <v>-50151</v>
      </c>
      <c r="Q98" s="227">
        <f t="shared" si="29"/>
        <v>-50151</v>
      </c>
      <c r="R98" s="226">
        <f t="shared" si="29"/>
        <v>-50151</v>
      </c>
      <c r="S98" s="226">
        <f t="shared" si="29"/>
        <v>-50151</v>
      </c>
      <c r="T98" s="226">
        <f t="shared" si="29"/>
        <v>-50151</v>
      </c>
      <c r="U98" s="226">
        <f t="shared" si="29"/>
        <v>-50151</v>
      </c>
      <c r="V98" s="226">
        <f t="shared" si="29"/>
        <v>-50151</v>
      </c>
      <c r="W98" s="226">
        <f t="shared" si="29"/>
        <v>-50151</v>
      </c>
      <c r="X98" s="226">
        <f t="shared" si="29"/>
        <v>-50151</v>
      </c>
      <c r="Y98" s="226">
        <f t="shared" si="29"/>
        <v>-50151</v>
      </c>
      <c r="Z98" s="226">
        <f t="shared" si="29"/>
        <v>-50151</v>
      </c>
      <c r="AA98" s="226">
        <f t="shared" si="29"/>
        <v>-50151</v>
      </c>
      <c r="AB98" s="103"/>
      <c r="AC98" s="42"/>
    </row>
    <row r="99" spans="1:29" s="266" customFormat="1" outlineLevel="1" x14ac:dyDescent="0.25">
      <c r="A99" s="212"/>
      <c r="B99" s="212"/>
      <c r="C99" s="225" t="str">
        <f>+C90</f>
        <v>Needs Inflation rate</v>
      </c>
      <c r="D99" s="213"/>
      <c r="E99" s="213"/>
      <c r="F99" s="213"/>
      <c r="G99" s="216"/>
      <c r="H99" s="217">
        <f>+H74</f>
        <v>0</v>
      </c>
      <c r="I99" s="217">
        <f ca="1">+I74</f>
        <v>0.02</v>
      </c>
      <c r="J99" s="217">
        <f t="shared" ref="J99:AA99" ca="1" si="30">+J74</f>
        <v>0.02</v>
      </c>
      <c r="K99" s="217">
        <f t="shared" ca="1" si="30"/>
        <v>0.02</v>
      </c>
      <c r="L99" s="217">
        <f t="shared" ca="1" si="30"/>
        <v>0.02</v>
      </c>
      <c r="M99" s="217">
        <f t="shared" ca="1" si="30"/>
        <v>0.02</v>
      </c>
      <c r="N99" s="217">
        <f t="shared" ca="1" si="30"/>
        <v>0.02</v>
      </c>
      <c r="O99" s="217">
        <f t="shared" ca="1" si="30"/>
        <v>0.02</v>
      </c>
      <c r="P99" s="217">
        <f t="shared" ca="1" si="30"/>
        <v>0.02</v>
      </c>
      <c r="Q99" s="218">
        <f t="shared" ca="1" si="30"/>
        <v>0.02</v>
      </c>
      <c r="R99" s="217">
        <f t="shared" ca="1" si="30"/>
        <v>0.02</v>
      </c>
      <c r="S99" s="217">
        <f t="shared" ca="1" si="30"/>
        <v>0.02</v>
      </c>
      <c r="T99" s="217">
        <f t="shared" ca="1" si="30"/>
        <v>0.02</v>
      </c>
      <c r="U99" s="217">
        <f t="shared" ca="1" si="30"/>
        <v>0.02</v>
      </c>
      <c r="V99" s="217">
        <f t="shared" ca="1" si="30"/>
        <v>0.02</v>
      </c>
      <c r="W99" s="217">
        <f t="shared" ca="1" si="30"/>
        <v>0.02</v>
      </c>
      <c r="X99" s="217">
        <f t="shared" ca="1" si="30"/>
        <v>0.02</v>
      </c>
      <c r="Y99" s="217">
        <f t="shared" ca="1" si="30"/>
        <v>0.02</v>
      </c>
      <c r="Z99" s="217">
        <f t="shared" ca="1" si="30"/>
        <v>0.02</v>
      </c>
      <c r="AA99" s="217">
        <f t="shared" ca="1" si="30"/>
        <v>0.02</v>
      </c>
      <c r="AB99" s="103"/>
      <c r="AC99" s="42"/>
    </row>
    <row r="100" spans="1:29" s="266" customFormat="1" outlineLevel="1" x14ac:dyDescent="0.25">
      <c r="A100" s="212"/>
      <c r="B100" s="212"/>
      <c r="C100" s="225" t="str">
        <f>+C91</f>
        <v>Calculated cumulative inflation</v>
      </c>
      <c r="D100" s="213"/>
      <c r="E100" s="230" t="s">
        <v>400</v>
      </c>
      <c r="F100" s="213"/>
      <c r="G100" s="213"/>
      <c r="H100" s="217">
        <f>+H75</f>
        <v>0</v>
      </c>
      <c r="I100" s="217">
        <f ca="1">+I75</f>
        <v>2.0000000000000018E-2</v>
      </c>
      <c r="J100" s="217">
        <f t="shared" ref="J100:AA100" ca="1" si="31">+J75</f>
        <v>4.0399999999999991E-2</v>
      </c>
      <c r="K100" s="217">
        <f t="shared" ca="1" si="31"/>
        <v>6.1207999999999929E-2</v>
      </c>
      <c r="L100" s="217">
        <f t="shared" ca="1" si="31"/>
        <v>8.2432159999999977E-2</v>
      </c>
      <c r="M100" s="217">
        <f t="shared" ca="1" si="31"/>
        <v>0.10408080320000002</v>
      </c>
      <c r="N100" s="217">
        <f t="shared" ca="1" si="31"/>
        <v>0.12616241926400007</v>
      </c>
      <c r="O100" s="217">
        <f t="shared" ca="1" si="31"/>
        <v>0.14868566764928004</v>
      </c>
      <c r="P100" s="217">
        <f t="shared" ca="1" si="31"/>
        <v>0.17165938100226574</v>
      </c>
      <c r="Q100" s="218">
        <f t="shared" ca="1" si="31"/>
        <v>0.19509256862231106</v>
      </c>
      <c r="R100" s="217">
        <f t="shared" ca="1" si="31"/>
        <v>0.21899441999475733</v>
      </c>
      <c r="S100" s="217">
        <f t="shared" ca="1" si="31"/>
        <v>0.24337430839465246</v>
      </c>
      <c r="T100" s="217">
        <f t="shared" ca="1" si="31"/>
        <v>0.26824179456254549</v>
      </c>
      <c r="U100" s="217">
        <f t="shared" ca="1" si="31"/>
        <v>0.29360663045379631</v>
      </c>
      <c r="V100" s="217">
        <f t="shared" ca="1" si="31"/>
        <v>0.31947876306287237</v>
      </c>
      <c r="W100" s="217">
        <f t="shared" ca="1" si="31"/>
        <v>0.34586833832412989</v>
      </c>
      <c r="X100" s="217">
        <f t="shared" ca="1" si="31"/>
        <v>0.37278570509061248</v>
      </c>
      <c r="Y100" s="217">
        <f t="shared" ca="1" si="31"/>
        <v>0.40024141919242484</v>
      </c>
      <c r="Z100" s="217">
        <f t="shared" ca="1" si="31"/>
        <v>0.42824624757627339</v>
      </c>
      <c r="AA100" s="217">
        <f t="shared" ca="1" si="31"/>
        <v>0.45681117252779879</v>
      </c>
      <c r="AB100" s="103"/>
      <c r="AC100" s="42"/>
    </row>
    <row r="101" spans="1:29" s="266" customFormat="1" outlineLevel="1" x14ac:dyDescent="0.25">
      <c r="A101" s="212"/>
      <c r="B101" s="212"/>
      <c r="C101" s="225" t="str">
        <f>+C92</f>
        <v>Inflation in Needs Amount</v>
      </c>
      <c r="D101" s="1151" t="s">
        <v>401</v>
      </c>
      <c r="E101" s="1151"/>
      <c r="F101" s="1151"/>
      <c r="G101" s="231" t="s">
        <v>402</v>
      </c>
      <c r="H101" s="232">
        <f>+H98*H100</f>
        <v>0</v>
      </c>
      <c r="I101" s="232">
        <f t="shared" ref="I101:AA101" ca="1" si="32">+I98*I100</f>
        <v>-1003.0200000000009</v>
      </c>
      <c r="J101" s="232">
        <f t="shared" ca="1" si="32"/>
        <v>-2026.1003999999996</v>
      </c>
      <c r="K101" s="232">
        <f t="shared" ca="1" si="32"/>
        <v>-3069.6424079999965</v>
      </c>
      <c r="L101" s="232">
        <f t="shared" ca="1" si="32"/>
        <v>-4134.0552561599989</v>
      </c>
      <c r="M101" s="232">
        <f t="shared" ca="1" si="32"/>
        <v>-5219.7563612832009</v>
      </c>
      <c r="N101" s="232">
        <f t="shared" ca="1" si="32"/>
        <v>-6327.1714885088677</v>
      </c>
      <c r="O101" s="232">
        <f t="shared" ca="1" si="32"/>
        <v>-7456.7349182790431</v>
      </c>
      <c r="P101" s="232">
        <f t="shared" ca="1" si="32"/>
        <v>-8608.8896166446284</v>
      </c>
      <c r="Q101" s="233">
        <f t="shared" ca="1" si="32"/>
        <v>-9784.0874089775225</v>
      </c>
      <c r="R101" s="232">
        <f t="shared" ca="1" si="32"/>
        <v>-10982.789157157074</v>
      </c>
      <c r="S101" s="232">
        <f t="shared" ca="1" si="32"/>
        <v>-12205.464940300215</v>
      </c>
      <c r="T101" s="232">
        <f t="shared" ca="1" si="32"/>
        <v>-13452.594239106218</v>
      </c>
      <c r="U101" s="232">
        <f t="shared" ca="1" si="32"/>
        <v>-14724.666123888339</v>
      </c>
      <c r="V101" s="232">
        <f t="shared" ca="1" si="32"/>
        <v>-16022.179446366112</v>
      </c>
      <c r="W101" s="232">
        <f t="shared" ca="1" si="32"/>
        <v>-17345.643035293437</v>
      </c>
      <c r="X101" s="232">
        <f t="shared" ca="1" si="32"/>
        <v>-18695.575895999307</v>
      </c>
      <c r="Y101" s="232">
        <f t="shared" ca="1" si="32"/>
        <v>-20072.507413919298</v>
      </c>
      <c r="Z101" s="232">
        <f t="shared" ca="1" si="32"/>
        <v>-21476.977562197688</v>
      </c>
      <c r="AA101" s="232">
        <f t="shared" ca="1" si="32"/>
        <v>-22909.537113441638</v>
      </c>
      <c r="AB101" s="103"/>
      <c r="AC101" s="42"/>
    </row>
    <row r="102" spans="1:29" ht="16.5" outlineLevel="1" x14ac:dyDescent="0.35">
      <c r="A102" s="128"/>
      <c r="B102" s="48"/>
      <c r="C102" s="55" t="s">
        <v>408</v>
      </c>
      <c r="D102" s="1149">
        <f ca="1">+'Trial Deposits Engine'!G105</f>
        <v>-633306.94603041152</v>
      </c>
      <c r="E102" s="1149"/>
      <c r="F102" s="1149"/>
      <c r="G102" s="187">
        <f ca="1">+D102/(20*'Trial Deposits Analysis'!C35)</f>
        <v>-527.75578835867623</v>
      </c>
      <c r="H102" s="120">
        <f>+H98+H101</f>
        <v>-50151</v>
      </c>
      <c r="I102" s="120">
        <f t="shared" ref="I102:AA102" ca="1" si="33">+I98+I101</f>
        <v>-51154.020000000004</v>
      </c>
      <c r="J102" s="120">
        <f t="shared" ca="1" si="33"/>
        <v>-52177.100400000003</v>
      </c>
      <c r="K102" s="120">
        <f t="shared" ca="1" si="33"/>
        <v>-53220.642408</v>
      </c>
      <c r="L102" s="120">
        <f t="shared" ca="1" si="33"/>
        <v>-54285.055256159998</v>
      </c>
      <c r="M102" s="120">
        <f t="shared" ca="1" si="33"/>
        <v>-55370.756361283202</v>
      </c>
      <c r="N102" s="120">
        <f t="shared" ca="1" si="33"/>
        <v>-56478.171488508866</v>
      </c>
      <c r="O102" s="120">
        <f t="shared" ca="1" si="33"/>
        <v>-57607.734918279042</v>
      </c>
      <c r="P102" s="120">
        <f t="shared" ca="1" si="33"/>
        <v>-58759.889616644628</v>
      </c>
      <c r="Q102" s="120">
        <f t="shared" ca="1" si="33"/>
        <v>-59935.087408977524</v>
      </c>
      <c r="R102" s="120">
        <f t="shared" ca="1" si="33"/>
        <v>-61133.789157157073</v>
      </c>
      <c r="S102" s="120">
        <f t="shared" ca="1" si="33"/>
        <v>-62356.464940300211</v>
      </c>
      <c r="T102" s="120">
        <f t="shared" ca="1" si="33"/>
        <v>-63603.59423910622</v>
      </c>
      <c r="U102" s="120">
        <f t="shared" ca="1" si="33"/>
        <v>-64875.666123888339</v>
      </c>
      <c r="V102" s="120">
        <f t="shared" ca="1" si="33"/>
        <v>-66173.179446366106</v>
      </c>
      <c r="W102" s="120">
        <f t="shared" ca="1" si="33"/>
        <v>-67496.64303529344</v>
      </c>
      <c r="X102" s="120">
        <f t="shared" ca="1" si="33"/>
        <v>-68846.575895999311</v>
      </c>
      <c r="Y102" s="120">
        <f t="shared" ca="1" si="33"/>
        <v>-70223.507413919302</v>
      </c>
      <c r="Z102" s="120">
        <f t="shared" ca="1" si="33"/>
        <v>-71627.977562197688</v>
      </c>
      <c r="AA102" s="120">
        <f t="shared" ca="1" si="33"/>
        <v>-73060.537113441635</v>
      </c>
      <c r="AB102" s="163">
        <f ca="1">SUM(H102:AA102)</f>
        <v>-1218537.3927855226</v>
      </c>
      <c r="AC102" s="42"/>
    </row>
    <row r="103" spans="1:29" outlineLevel="1" x14ac:dyDescent="0.25">
      <c r="A103" s="128"/>
      <c r="B103" s="48"/>
      <c r="C103" s="83" t="s">
        <v>404</v>
      </c>
      <c r="D103" s="1"/>
      <c r="E103" s="1"/>
      <c r="F103" s="81"/>
      <c r="G103" s="102"/>
      <c r="H103" s="192">
        <f ca="1">+H79+H102</f>
        <v>171649</v>
      </c>
      <c r="I103" s="192">
        <f t="shared" ref="I103:AA103" ca="1" si="34">+I79+I102</f>
        <v>179077.97999999998</v>
      </c>
      <c r="J103" s="192">
        <f t="shared" ca="1" si="34"/>
        <v>125210.2996</v>
      </c>
      <c r="K103" s="192">
        <f t="shared" ca="1" si="34"/>
        <v>98997.486991999976</v>
      </c>
      <c r="L103" s="192">
        <f t="shared" ca="1" si="34"/>
        <v>70087.502852839971</v>
      </c>
      <c r="M103" s="192">
        <f t="shared" ca="1" si="34"/>
        <v>43886.190022711773</v>
      </c>
      <c r="N103" s="192">
        <f t="shared" ca="1" si="34"/>
        <v>46199.644992673224</v>
      </c>
      <c r="O103" s="192">
        <f t="shared" ca="1" si="34"/>
        <v>25127.225029576519</v>
      </c>
      <c r="P103" s="192">
        <f t="shared" ca="1" si="34"/>
        <v>18169.950474273624</v>
      </c>
      <c r="Q103" s="192">
        <f t="shared" ca="1" si="34"/>
        <v>11566.533142026259</v>
      </c>
      <c r="R103" s="192">
        <f t="shared" ca="1" si="34"/>
        <v>-98116.554781992047</v>
      </c>
      <c r="S103" s="192">
        <f t="shared" ca="1" si="34"/>
        <v>-203396.41925892106</v>
      </c>
      <c r="T103" s="192">
        <f t="shared" ca="1" si="34"/>
        <v>-235439.36102538867</v>
      </c>
      <c r="U103" s="192">
        <f t="shared" ca="1" si="34"/>
        <v>-280860.02162718563</v>
      </c>
      <c r="V103" s="192">
        <f t="shared" ca="1" si="34"/>
        <v>-374061.85544101853</v>
      </c>
      <c r="W103" s="192">
        <f t="shared" ca="1" si="34"/>
        <v>-362592.1259311281</v>
      </c>
      <c r="X103" s="192">
        <f t="shared" ca="1" si="34"/>
        <v>-336760.90183103987</v>
      </c>
      <c r="Y103" s="192">
        <f t="shared" ca="1" si="34"/>
        <v>-354239.05324894981</v>
      </c>
      <c r="Z103" s="192">
        <f t="shared" ca="1" si="34"/>
        <v>-364233.24769521796</v>
      </c>
      <c r="AA103" s="192">
        <f t="shared" ca="1" si="34"/>
        <v>-633306.94603041152</v>
      </c>
      <c r="AB103" s="162"/>
      <c r="AC103" s="42"/>
    </row>
    <row r="104" spans="1:29" outlineLevel="1" x14ac:dyDescent="0.25">
      <c r="A104" s="128"/>
      <c r="B104" s="48"/>
      <c r="C104" s="83"/>
      <c r="D104" s="1"/>
      <c r="E104" s="1"/>
      <c r="F104" s="116" t="s">
        <v>409</v>
      </c>
      <c r="G104" s="86">
        <f ca="1">+MIN(H103:Q103)</f>
        <v>11566.533142026259</v>
      </c>
      <c r="H104" s="116" t="s">
        <v>410</v>
      </c>
      <c r="I104" s="345">
        <f ca="1">+MATCH(G104,H103:Q103,0)</f>
        <v>10</v>
      </c>
      <c r="J104" s="192"/>
      <c r="K104" s="192"/>
      <c r="L104" s="192"/>
      <c r="M104" s="192"/>
      <c r="N104" s="192"/>
      <c r="O104" s="192"/>
      <c r="P104" s="192"/>
      <c r="Q104" s="192"/>
      <c r="R104" s="192">
        <f ca="1">+R103</f>
        <v>-98116.554781992047</v>
      </c>
      <c r="S104" s="192">
        <f ca="1">R104++S62+S69+S102</f>
        <v>-135854.20841607812</v>
      </c>
      <c r="T104" s="192"/>
      <c r="U104" s="192"/>
      <c r="V104" s="192"/>
      <c r="W104" s="192"/>
      <c r="X104" s="192"/>
      <c r="Y104" s="192"/>
      <c r="Z104" s="192"/>
      <c r="AA104" s="192"/>
      <c r="AB104" s="162"/>
      <c r="AC104" s="42"/>
    </row>
    <row r="105" spans="1:29" ht="16.5" outlineLevel="1" x14ac:dyDescent="0.35">
      <c r="A105" s="128"/>
      <c r="B105" s="48"/>
      <c r="C105" s="83"/>
      <c r="D105" s="1"/>
      <c r="E105" s="1"/>
      <c r="F105" s="116" t="s">
        <v>411</v>
      </c>
      <c r="G105" s="86">
        <f ca="1">+MIN(R103:AA103)</f>
        <v>-633306.94603041152</v>
      </c>
      <c r="H105" s="86">
        <f ca="1">+MIN(R103:Z103)</f>
        <v>-374061.85544101853</v>
      </c>
      <c r="I105" s="345">
        <f ca="1">+MATCH(G105,R103:AA103,0)</f>
        <v>10</v>
      </c>
      <c r="J105" s="120"/>
      <c r="K105" s="120"/>
      <c r="L105" s="120"/>
      <c r="M105" s="120"/>
      <c r="N105" s="120"/>
      <c r="O105" s="120"/>
      <c r="P105" s="120"/>
      <c r="Q105" s="121"/>
      <c r="R105" s="120"/>
      <c r="S105" s="120"/>
      <c r="T105" s="120"/>
      <c r="U105" s="120"/>
      <c r="V105" s="120"/>
      <c r="W105" s="120"/>
      <c r="X105" s="120"/>
      <c r="Y105" s="120"/>
      <c r="Z105" s="120"/>
      <c r="AA105" s="120"/>
      <c r="AB105" s="162"/>
      <c r="AC105" s="42"/>
    </row>
    <row r="106" spans="1:29" ht="16.5" outlineLevel="1" x14ac:dyDescent="0.35">
      <c r="A106" s="128"/>
      <c r="B106" s="48"/>
      <c r="C106" s="177" t="s">
        <v>412</v>
      </c>
      <c r="D106" s="88" t="str">
        <f ca="1">+IF(F106&gt;0,"FAIL","PASS")</f>
        <v>PASS</v>
      </c>
      <c r="E106" s="1"/>
      <c r="F106" s="87">
        <f ca="1">COUNTIF((H107:Q107),"Not OK")</f>
        <v>0</v>
      </c>
      <c r="G106" s="87" t="s">
        <v>413</v>
      </c>
      <c r="H106" s="120"/>
      <c r="I106" s="120"/>
      <c r="J106" s="120"/>
      <c r="K106" s="120"/>
      <c r="L106" s="120"/>
      <c r="M106" s="120"/>
      <c r="N106" s="120"/>
      <c r="O106" s="120"/>
      <c r="P106" s="120"/>
      <c r="Q106" s="120"/>
      <c r="R106" s="120"/>
      <c r="S106" s="120"/>
      <c r="T106" s="120"/>
      <c r="U106" s="120"/>
      <c r="V106" s="120"/>
      <c r="W106" s="120"/>
      <c r="X106" s="120"/>
      <c r="Y106" s="120"/>
      <c r="Z106" s="120"/>
      <c r="AA106" s="120"/>
      <c r="AB106" s="162"/>
      <c r="AC106" s="42"/>
    </row>
    <row r="107" spans="1:29" ht="19.5" customHeight="1" x14ac:dyDescent="0.25">
      <c r="A107" s="128"/>
      <c r="B107" s="48"/>
      <c r="C107" s="177" t="s">
        <v>414</v>
      </c>
      <c r="D107" s="88" t="str">
        <f ca="1">+IF(F107&gt;0,"FAIL","PASS")</f>
        <v>FAIL</v>
      </c>
      <c r="E107" s="1"/>
      <c r="F107" s="87">
        <f ca="1">COUNTIF((R107:AA107),"Not OK")</f>
        <v>10</v>
      </c>
      <c r="G107" s="87" t="s">
        <v>413</v>
      </c>
      <c r="H107" s="464" t="str">
        <f ca="1">+IF(H79&gt;=0,"OK","Not OK")</f>
        <v>OK</v>
      </c>
      <c r="I107" s="464" t="str">
        <f ca="1">+IF(I79&gt;=0,"OK","Not OK")</f>
        <v>OK</v>
      </c>
      <c r="J107" s="57" t="str">
        <f t="shared" ref="J107:AA107" ca="1" si="35">+IF(J103&gt;=0,"OK","Not OK")</f>
        <v>OK</v>
      </c>
      <c r="K107" s="57" t="str">
        <f t="shared" ca="1" si="35"/>
        <v>OK</v>
      </c>
      <c r="L107" s="57" t="str">
        <f t="shared" ca="1" si="35"/>
        <v>OK</v>
      </c>
      <c r="M107" s="57" t="str">
        <f t="shared" ca="1" si="35"/>
        <v>OK</v>
      </c>
      <c r="N107" s="57" t="str">
        <f t="shared" ca="1" si="35"/>
        <v>OK</v>
      </c>
      <c r="O107" s="57" t="str">
        <f t="shared" ca="1" si="35"/>
        <v>OK</v>
      </c>
      <c r="P107" s="57" t="str">
        <f t="shared" ca="1" si="35"/>
        <v>OK</v>
      </c>
      <c r="Q107" s="57" t="str">
        <f t="shared" ca="1" si="35"/>
        <v>OK</v>
      </c>
      <c r="R107" s="57" t="str">
        <f t="shared" ca="1" si="35"/>
        <v>Not OK</v>
      </c>
      <c r="S107" s="57" t="str">
        <f t="shared" ca="1" si="35"/>
        <v>Not OK</v>
      </c>
      <c r="T107" s="57" t="str">
        <f t="shared" ca="1" si="35"/>
        <v>Not OK</v>
      </c>
      <c r="U107" s="57" t="str">
        <f t="shared" ca="1" si="35"/>
        <v>Not OK</v>
      </c>
      <c r="V107" s="57" t="str">
        <f t="shared" ca="1" si="35"/>
        <v>Not OK</v>
      </c>
      <c r="W107" s="57" t="str">
        <f t="shared" ca="1" si="35"/>
        <v>Not OK</v>
      </c>
      <c r="X107" s="57" t="str">
        <f t="shared" ca="1" si="35"/>
        <v>Not OK</v>
      </c>
      <c r="Y107" s="57" t="str">
        <f t="shared" ca="1" si="35"/>
        <v>Not OK</v>
      </c>
      <c r="Z107" s="57" t="str">
        <f t="shared" ca="1" si="35"/>
        <v>Not OK</v>
      </c>
      <c r="AA107" s="57" t="str">
        <f t="shared" ca="1" si="35"/>
        <v>Not OK</v>
      </c>
      <c r="AB107" s="162"/>
      <c r="AC107" s="42"/>
    </row>
    <row r="108" spans="1:29" ht="23.25" customHeight="1" x14ac:dyDescent="0.25">
      <c r="A108" s="128"/>
      <c r="B108" s="48"/>
      <c r="C108" s="1153" t="s">
        <v>415</v>
      </c>
      <c r="E108" s="1"/>
      <c r="F108" s="1"/>
      <c r="G108" s="82"/>
      <c r="H108" s="57" t="s">
        <v>405</v>
      </c>
      <c r="I108" s="57" t="s">
        <v>405</v>
      </c>
      <c r="J108" s="57" t="s">
        <v>405</v>
      </c>
      <c r="K108" s="57" t="s">
        <v>405</v>
      </c>
      <c r="L108" s="57" t="s">
        <v>405</v>
      </c>
      <c r="M108" s="57" t="s">
        <v>405</v>
      </c>
      <c r="N108" s="57" t="s">
        <v>405</v>
      </c>
      <c r="O108" s="57" t="s">
        <v>405</v>
      </c>
      <c r="P108" s="57" t="s">
        <v>405</v>
      </c>
      <c r="Q108" s="119" t="s">
        <v>405</v>
      </c>
      <c r="R108" s="90" t="str">
        <f ca="1">+IF(AND(R107="Not OK",R120="OK"),"Mitigated below","Not Mitigated")</f>
        <v>Mitigated below</v>
      </c>
      <c r="S108" s="90" t="str">
        <f t="shared" ref="S108:AA108" ca="1" si="36">+IF(AND(S107="Not OK",S120="OK"),"Mitigated below","Not Mitigated")</f>
        <v>Mitigated below</v>
      </c>
      <c r="T108" s="90" t="str">
        <f ca="1">+IF(AND(T107="Not OK",T120="OK"),"Mitigated below","Not Mitigated")</f>
        <v>Mitigated below</v>
      </c>
      <c r="U108" s="90" t="str">
        <f t="shared" ca="1" si="36"/>
        <v>Mitigated below</v>
      </c>
      <c r="V108" s="90" t="str">
        <f t="shared" ca="1" si="36"/>
        <v>Mitigated below</v>
      </c>
      <c r="W108" s="90" t="str">
        <f t="shared" ca="1" si="36"/>
        <v>Mitigated below</v>
      </c>
      <c r="X108" s="90" t="str">
        <f t="shared" ca="1" si="36"/>
        <v>Mitigated below</v>
      </c>
      <c r="Y108" s="90" t="str">
        <f t="shared" ca="1" si="36"/>
        <v>Mitigated below</v>
      </c>
      <c r="Z108" s="90" t="str">
        <f t="shared" ca="1" si="36"/>
        <v>Mitigated below</v>
      </c>
      <c r="AA108" s="90" t="str">
        <f t="shared" ca="1" si="36"/>
        <v>Mitigated below</v>
      </c>
      <c r="AB108" s="103"/>
      <c r="AC108" s="42"/>
    </row>
    <row r="109" spans="1:29" ht="18.75" customHeight="1" x14ac:dyDescent="0.25">
      <c r="A109" s="128"/>
      <c r="B109" s="48"/>
      <c r="C109" s="1154"/>
      <c r="D109" s="88" t="str">
        <f ca="1">+IF(AND(D107="FAIL",D120="PASS"),"PASS",IF(AND(D107="PASS",OR(D120="FAIL",D120="yes")),"N/A","FAIL"))</f>
        <v>PASS</v>
      </c>
      <c r="E109" s="1"/>
      <c r="F109" s="1"/>
      <c r="G109" s="82"/>
      <c r="H109" s="1"/>
      <c r="I109" s="1"/>
      <c r="J109" s="1"/>
      <c r="K109" s="1"/>
      <c r="L109" s="1"/>
      <c r="M109" s="1"/>
      <c r="N109" s="1"/>
      <c r="O109" s="1"/>
      <c r="P109" s="1"/>
      <c r="Q109" s="49"/>
      <c r="R109" s="90"/>
      <c r="S109" s="90"/>
      <c r="T109" s="90"/>
      <c r="U109" s="90"/>
      <c r="V109" s="90"/>
      <c r="W109" s="90"/>
      <c r="X109" s="90"/>
      <c r="Y109" s="90"/>
      <c r="Z109" s="90"/>
      <c r="AA109" s="90"/>
      <c r="AB109" s="103"/>
      <c r="AC109" s="42"/>
    </row>
    <row r="110" spans="1:29" ht="15" customHeight="1" x14ac:dyDescent="0.25">
      <c r="A110" s="128"/>
      <c r="B110" s="48"/>
      <c r="C110" s="468"/>
      <c r="D110" s="102"/>
      <c r="E110" s="1"/>
      <c r="F110" s="1"/>
      <c r="G110" s="82"/>
      <c r="H110" s="1"/>
      <c r="I110" s="1"/>
      <c r="J110" s="1"/>
      <c r="K110" s="1"/>
      <c r="L110" s="1"/>
      <c r="M110" s="1"/>
      <c r="N110" s="1"/>
      <c r="O110" s="1"/>
      <c r="P110" s="1"/>
      <c r="Q110" s="49"/>
      <c r="R110" s="90"/>
      <c r="S110" s="90"/>
      <c r="T110" s="90"/>
      <c r="U110" s="90"/>
      <c r="V110" s="90"/>
      <c r="W110" s="90"/>
      <c r="X110" s="90"/>
      <c r="Y110" s="90"/>
      <c r="Z110" s="90"/>
      <c r="AA110" s="90"/>
      <c r="AB110" s="103"/>
      <c r="AC110" s="42"/>
    </row>
    <row r="111" spans="1:29" x14ac:dyDescent="0.25">
      <c r="A111" s="128"/>
      <c r="B111" s="48"/>
      <c r="C111" s="122" t="s">
        <v>416</v>
      </c>
      <c r="D111" s="54"/>
      <c r="E111" s="54"/>
      <c r="F111" s="54"/>
      <c r="G111" s="54"/>
      <c r="H111" s="192"/>
      <c r="I111" s="192"/>
      <c r="J111" s="192"/>
      <c r="K111" s="192"/>
      <c r="L111" s="192"/>
      <c r="M111" s="192"/>
      <c r="N111" s="192"/>
      <c r="O111" s="192"/>
      <c r="P111" s="192"/>
      <c r="Q111" s="117"/>
      <c r="R111" s="192"/>
      <c r="S111" s="192"/>
      <c r="T111" s="192"/>
      <c r="U111" s="192"/>
      <c r="V111" s="192"/>
      <c r="W111" s="192"/>
      <c r="X111" s="192"/>
      <c r="Y111" s="192"/>
      <c r="Z111" s="192"/>
      <c r="AA111" s="192"/>
      <c r="AB111" s="162"/>
      <c r="AC111" s="42"/>
    </row>
    <row r="112" spans="1:29" outlineLevel="1" x14ac:dyDescent="0.25">
      <c r="A112" s="128"/>
      <c r="B112" s="48"/>
      <c r="C112" s="155" t="s">
        <v>417</v>
      </c>
      <c r="D112" s="54"/>
      <c r="E112" s="54"/>
      <c r="F112" s="199" t="s">
        <v>418</v>
      </c>
      <c r="G112" s="200">
        <f>+'eTool Data Analysis'!$E$27</f>
        <v>0.5</v>
      </c>
      <c r="H112" s="192">
        <f>+P14</f>
        <v>12000000</v>
      </c>
      <c r="I112" s="192">
        <f t="shared" ref="I112:AA112" si="37">+H112</f>
        <v>12000000</v>
      </c>
      <c r="J112" s="192">
        <f t="shared" si="37"/>
        <v>12000000</v>
      </c>
      <c r="K112" s="192">
        <f t="shared" si="37"/>
        <v>12000000</v>
      </c>
      <c r="L112" s="192">
        <f t="shared" si="37"/>
        <v>12000000</v>
      </c>
      <c r="M112" s="192">
        <f t="shared" si="37"/>
        <v>12000000</v>
      </c>
      <c r="N112" s="192">
        <f t="shared" si="37"/>
        <v>12000000</v>
      </c>
      <c r="O112" s="192">
        <f t="shared" si="37"/>
        <v>12000000</v>
      </c>
      <c r="P112" s="192">
        <f t="shared" si="37"/>
        <v>12000000</v>
      </c>
      <c r="Q112" s="117">
        <f t="shared" si="37"/>
        <v>12000000</v>
      </c>
      <c r="R112" s="192">
        <f t="shared" si="37"/>
        <v>12000000</v>
      </c>
      <c r="S112" s="192">
        <f t="shared" si="37"/>
        <v>12000000</v>
      </c>
      <c r="T112" s="192">
        <f t="shared" si="37"/>
        <v>12000000</v>
      </c>
      <c r="U112" s="192">
        <f t="shared" si="37"/>
        <v>12000000</v>
      </c>
      <c r="V112" s="192">
        <f t="shared" si="37"/>
        <v>12000000</v>
      </c>
      <c r="W112" s="192">
        <f t="shared" si="37"/>
        <v>12000000</v>
      </c>
      <c r="X112" s="192">
        <f t="shared" si="37"/>
        <v>12000000</v>
      </c>
      <c r="Y112" s="192">
        <f t="shared" si="37"/>
        <v>12000000</v>
      </c>
      <c r="Z112" s="192">
        <f t="shared" si="37"/>
        <v>12000000</v>
      </c>
      <c r="AA112" s="192">
        <f t="shared" si="37"/>
        <v>12000000</v>
      </c>
      <c r="AB112" s="162"/>
      <c r="AC112" s="42"/>
    </row>
    <row r="113" spans="1:34" outlineLevel="1" x14ac:dyDescent="0.25">
      <c r="A113" s="128"/>
      <c r="B113" s="48"/>
      <c r="C113" s="155" t="s">
        <v>419</v>
      </c>
      <c r="D113" s="54"/>
      <c r="E113" s="54"/>
      <c r="F113" s="54"/>
      <c r="G113" s="54"/>
      <c r="H113" s="58">
        <f t="shared" ref="H113:AA113" si="38">+DAYS360($P$18,H58)/30</f>
        <v>12</v>
      </c>
      <c r="I113" s="58">
        <f t="shared" si="38"/>
        <v>24</v>
      </c>
      <c r="J113" s="58">
        <f t="shared" si="38"/>
        <v>36</v>
      </c>
      <c r="K113" s="58">
        <f t="shared" si="38"/>
        <v>48</v>
      </c>
      <c r="L113" s="58">
        <f t="shared" si="38"/>
        <v>60</v>
      </c>
      <c r="M113" s="58">
        <f t="shared" si="38"/>
        <v>72</v>
      </c>
      <c r="N113" s="58">
        <f t="shared" si="38"/>
        <v>84</v>
      </c>
      <c r="O113" s="58">
        <f t="shared" si="38"/>
        <v>96</v>
      </c>
      <c r="P113" s="58">
        <f t="shared" si="38"/>
        <v>108</v>
      </c>
      <c r="Q113" s="176">
        <f t="shared" si="38"/>
        <v>120</v>
      </c>
      <c r="R113" s="58">
        <f t="shared" si="38"/>
        <v>132</v>
      </c>
      <c r="S113" s="58">
        <f t="shared" si="38"/>
        <v>144</v>
      </c>
      <c r="T113" s="58">
        <f t="shared" si="38"/>
        <v>156</v>
      </c>
      <c r="U113" s="58">
        <f t="shared" si="38"/>
        <v>168</v>
      </c>
      <c r="V113" s="58">
        <f t="shared" si="38"/>
        <v>180</v>
      </c>
      <c r="W113" s="58">
        <f t="shared" si="38"/>
        <v>192</v>
      </c>
      <c r="X113" s="58">
        <f t="shared" si="38"/>
        <v>204</v>
      </c>
      <c r="Y113" s="58">
        <f t="shared" si="38"/>
        <v>216</v>
      </c>
      <c r="Z113" s="58">
        <f t="shared" si="38"/>
        <v>228</v>
      </c>
      <c r="AA113" s="58">
        <f t="shared" si="38"/>
        <v>240</v>
      </c>
      <c r="AB113" s="163">
        <f>SUM(H113:AA113)</f>
        <v>2520</v>
      </c>
      <c r="AC113" s="42"/>
    </row>
    <row r="114" spans="1:34" outlineLevel="1" x14ac:dyDescent="0.25">
      <c r="A114" s="128"/>
      <c r="B114" s="48"/>
      <c r="C114" s="155" t="s">
        <v>420</v>
      </c>
      <c r="D114" s="54"/>
      <c r="E114" s="184" t="s">
        <v>421</v>
      </c>
      <c r="F114" s="54"/>
      <c r="G114" s="54"/>
      <c r="H114" s="192">
        <f t="shared" ref="H114:AA114" si="39">+H112+H116</f>
        <v>11818361.397023993</v>
      </c>
      <c r="I114" s="192">
        <f t="shared" si="39"/>
        <v>11630449.928623421</v>
      </c>
      <c r="J114" s="192">
        <f t="shared" si="39"/>
        <v>11436048.962210337</v>
      </c>
      <c r="K114" s="192">
        <f t="shared" si="39"/>
        <v>11234934.383818664</v>
      </c>
      <c r="L114" s="192">
        <f t="shared" si="39"/>
        <v>11026874.339735782</v>
      </c>
      <c r="M114" s="192">
        <f t="shared" si="39"/>
        <v>10811628.969211403</v>
      </c>
      <c r="N114" s="192">
        <f t="shared" si="39"/>
        <v>10588950.127935555</v>
      </c>
      <c r="O114" s="192">
        <f t="shared" si="39"/>
        <v>10358581.101966947</v>
      </c>
      <c r="P114" s="192">
        <f t="shared" si="39"/>
        <v>10120256.311781855</v>
      </c>
      <c r="Q114" s="117">
        <f t="shared" si="39"/>
        <v>9873701.0061024018</v>
      </c>
      <c r="R114" s="192">
        <f t="shared" si="39"/>
        <v>9618630.945151221</v>
      </c>
      <c r="S114" s="192">
        <f t="shared" si="39"/>
        <v>9354752.072967371</v>
      </c>
      <c r="T114" s="192">
        <f t="shared" si="39"/>
        <v>9081760.1784057114</v>
      </c>
      <c r="U114" s="192">
        <f t="shared" si="39"/>
        <v>8799340.5444289446</v>
      </c>
      <c r="V114" s="192">
        <f t="shared" si="39"/>
        <v>8507167.5852880105</v>
      </c>
      <c r="W114" s="192">
        <f t="shared" si="39"/>
        <v>8204904.4711725339</v>
      </c>
      <c r="X114" s="192">
        <f t="shared" si="39"/>
        <v>7892202.7398986453</v>
      </c>
      <c r="Y114" s="192">
        <f t="shared" si="39"/>
        <v>7568701.8951864764</v>
      </c>
      <c r="Z114" s="192">
        <f t="shared" si="39"/>
        <v>7234028.9910642272</v>
      </c>
      <c r="AA114" s="192">
        <f t="shared" si="39"/>
        <v>6887798.2019196888</v>
      </c>
      <c r="AB114" s="163"/>
      <c r="AC114" s="42"/>
    </row>
    <row r="115" spans="1:34" outlineLevel="1" x14ac:dyDescent="0.25">
      <c r="A115" s="128"/>
      <c r="B115" s="48"/>
      <c r="C115" s="155" t="s">
        <v>422</v>
      </c>
      <c r="D115" s="1150" t="s">
        <v>401</v>
      </c>
      <c r="E115" s="1150"/>
      <c r="F115" s="1150"/>
      <c r="G115" s="186" t="s">
        <v>402</v>
      </c>
      <c r="H115" s="192"/>
      <c r="I115" s="192"/>
      <c r="J115" s="192"/>
      <c r="K115" s="192"/>
      <c r="L115" s="192"/>
      <c r="M115" s="192"/>
      <c r="N115" s="192"/>
      <c r="O115" s="192"/>
      <c r="P115" s="192"/>
      <c r="Q115" s="117"/>
      <c r="R115" s="192"/>
      <c r="S115" s="192"/>
      <c r="T115" s="192"/>
      <c r="U115" s="192"/>
      <c r="V115" s="192"/>
      <c r="W115" s="192"/>
      <c r="X115" s="192"/>
      <c r="Y115" s="192"/>
      <c r="Z115" s="192"/>
      <c r="AA115" s="192"/>
      <c r="AB115" s="162"/>
      <c r="AC115" s="42"/>
    </row>
    <row r="116" spans="1:34" outlineLevel="1" x14ac:dyDescent="0.25">
      <c r="A116" s="128"/>
      <c r="B116" s="48"/>
      <c r="C116" s="155" t="s">
        <v>423</v>
      </c>
      <c r="D116" s="1149">
        <f ca="1">+'Trial Deposits Engine'!G119</f>
        <v>1092567.9726423973</v>
      </c>
      <c r="E116" s="1149"/>
      <c r="F116" s="1149"/>
      <c r="G116" s="187">
        <f ca="1">+'Trial Deposits Engine'!D116/(20*'Trial Deposits Analysis'!C35)</f>
        <v>910.47331053533105</v>
      </c>
      <c r="H116" s="192">
        <f>IF(H113=0,0,+CUMPRINC($P$16/12,$P$20*12,$P$14,1,H113,0))</f>
        <v>-181638.60297600797</v>
      </c>
      <c r="I116" s="192">
        <f>+CUMPRINC($P$16/12,$P$20*12,$P$14,1,I113,0)</f>
        <v>-369550.07137657818</v>
      </c>
      <c r="J116" s="192">
        <f t="shared" ref="J116:AA116" si="40">+CUMPRINC($P$16/12,$P$20*12,$P$14,1,J113,0)</f>
        <v>-563951.0377896626</v>
      </c>
      <c r="K116" s="192">
        <f t="shared" si="40"/>
        <v>-765065.61618133681</v>
      </c>
      <c r="L116" s="192">
        <f t="shared" si="40"/>
        <v>-973125.66026421776</v>
      </c>
      <c r="M116" s="192">
        <f t="shared" si="40"/>
        <v>-1188371.0307885974</v>
      </c>
      <c r="N116" s="192">
        <f t="shared" si="40"/>
        <v>-1411049.8720644442</v>
      </c>
      <c r="O116" s="192">
        <f t="shared" si="40"/>
        <v>-1641418.8980330529</v>
      </c>
      <c r="P116" s="192">
        <f t="shared" si="40"/>
        <v>-1879743.6882181454</v>
      </c>
      <c r="Q116" s="117">
        <f t="shared" si="40"/>
        <v>-2126298.9938975987</v>
      </c>
      <c r="R116" s="192">
        <f t="shared" si="40"/>
        <v>-2381369.0548487785</v>
      </c>
      <c r="S116" s="192">
        <f t="shared" si="40"/>
        <v>-2645247.9270326286</v>
      </c>
      <c r="T116" s="192">
        <f t="shared" si="40"/>
        <v>-2918239.8215942886</v>
      </c>
      <c r="U116" s="192">
        <f t="shared" si="40"/>
        <v>-3200659.4555710545</v>
      </c>
      <c r="V116" s="192">
        <f t="shared" si="40"/>
        <v>-3492832.4147119899</v>
      </c>
      <c r="W116" s="192">
        <f t="shared" si="40"/>
        <v>-3795095.5288274661</v>
      </c>
      <c r="X116" s="192">
        <f t="shared" si="40"/>
        <v>-4107797.2601013547</v>
      </c>
      <c r="Y116" s="192">
        <f t="shared" si="40"/>
        <v>-4431298.1048135236</v>
      </c>
      <c r="Z116" s="192">
        <f t="shared" si="40"/>
        <v>-4765971.0089357728</v>
      </c>
      <c r="AA116" s="192">
        <f t="shared" si="40"/>
        <v>-5112201.7980803112</v>
      </c>
      <c r="AB116" s="162"/>
      <c r="AC116" s="42"/>
    </row>
    <row r="117" spans="1:34" outlineLevel="1" x14ac:dyDescent="0.25">
      <c r="A117" s="128"/>
      <c r="B117" s="198"/>
      <c r="C117" s="155" t="s">
        <v>424</v>
      </c>
      <c r="D117" s="54"/>
      <c r="E117" s="54"/>
      <c r="F117" s="54"/>
      <c r="G117" s="54"/>
      <c r="H117" s="192">
        <f>-+H116*$G$112</f>
        <v>90819.301488003985</v>
      </c>
      <c r="I117" s="192">
        <f>-+I116*$G$112</f>
        <v>184775.03568828909</v>
      </c>
      <c r="J117" s="192">
        <f t="shared" ref="J117:AA117" si="41">-+J116*$G$112</f>
        <v>281975.5188948313</v>
      </c>
      <c r="K117" s="192">
        <f t="shared" si="41"/>
        <v>382532.8080906684</v>
      </c>
      <c r="L117" s="192">
        <f t="shared" si="41"/>
        <v>486562.83013210888</v>
      </c>
      <c r="M117" s="192">
        <f t="shared" si="41"/>
        <v>594185.51539429871</v>
      </c>
      <c r="N117" s="192">
        <f t="shared" si="41"/>
        <v>705524.93603222212</v>
      </c>
      <c r="O117" s="192">
        <f t="shared" si="41"/>
        <v>820709.44901652646</v>
      </c>
      <c r="P117" s="192">
        <f t="shared" si="41"/>
        <v>939871.8441090727</v>
      </c>
      <c r="Q117" s="192">
        <f t="shared" si="41"/>
        <v>1063149.4969487994</v>
      </c>
      <c r="R117" s="192">
        <f t="shared" si="41"/>
        <v>1190684.5274243893</v>
      </c>
      <c r="S117" s="192">
        <f t="shared" si="41"/>
        <v>1322623.9635163143</v>
      </c>
      <c r="T117" s="192">
        <f t="shared" si="41"/>
        <v>1459119.9107971443</v>
      </c>
      <c r="U117" s="192">
        <f t="shared" si="41"/>
        <v>1600329.7277855272</v>
      </c>
      <c r="V117" s="192">
        <f t="shared" si="41"/>
        <v>1746416.207355995</v>
      </c>
      <c r="W117" s="192">
        <f t="shared" si="41"/>
        <v>1897547.764413733</v>
      </c>
      <c r="X117" s="192">
        <f t="shared" si="41"/>
        <v>2053898.6300506773</v>
      </c>
      <c r="Y117" s="192">
        <f t="shared" si="41"/>
        <v>2215649.0524067618</v>
      </c>
      <c r="Z117" s="192">
        <f t="shared" si="41"/>
        <v>2382985.5044678864</v>
      </c>
      <c r="AA117" s="192">
        <f t="shared" si="41"/>
        <v>2556100.8990401556</v>
      </c>
      <c r="AB117" s="162"/>
      <c r="AC117" s="42"/>
    </row>
    <row r="118" spans="1:34" outlineLevel="1" x14ac:dyDescent="0.25">
      <c r="A118" s="128"/>
      <c r="B118" s="48"/>
      <c r="C118" s="83" t="s">
        <v>425</v>
      </c>
      <c r="D118" s="1"/>
      <c r="E118" s="1"/>
      <c r="F118" s="81"/>
      <c r="G118" s="102"/>
      <c r="H118" s="192"/>
      <c r="I118" s="192"/>
      <c r="J118" s="192"/>
      <c r="K118" s="192"/>
      <c r="L118" s="192"/>
      <c r="M118" s="192"/>
      <c r="N118" s="192"/>
      <c r="O118" s="192"/>
      <c r="P118" s="192"/>
      <c r="Q118" s="117"/>
      <c r="R118" s="192">
        <f t="shared" ref="R118:AA118" ca="1" si="42">+R117-(-R103)</f>
        <v>1092567.9726423973</v>
      </c>
      <c r="S118" s="192">
        <f t="shared" ca="1" si="42"/>
        <v>1119227.5442573931</v>
      </c>
      <c r="T118" s="192">
        <f t="shared" ca="1" si="42"/>
        <v>1223680.5497717557</v>
      </c>
      <c r="U118" s="192">
        <f t="shared" ca="1" si="42"/>
        <v>1319469.7061583416</v>
      </c>
      <c r="V118" s="192">
        <f t="shared" ca="1" si="42"/>
        <v>1372354.3519149765</v>
      </c>
      <c r="W118" s="192">
        <f t="shared" ca="1" si="42"/>
        <v>1534955.6384826049</v>
      </c>
      <c r="X118" s="192">
        <f t="shared" ca="1" si="42"/>
        <v>1717137.7282196374</v>
      </c>
      <c r="Y118" s="192">
        <f t="shared" ca="1" si="42"/>
        <v>1861409.999157812</v>
      </c>
      <c r="Z118" s="192">
        <f t="shared" ca="1" si="42"/>
        <v>2018752.2567726686</v>
      </c>
      <c r="AA118" s="192">
        <f t="shared" ca="1" si="42"/>
        <v>1922793.9530097442</v>
      </c>
      <c r="AB118" s="162"/>
      <c r="AC118" s="42"/>
    </row>
    <row r="119" spans="1:34" outlineLevel="1" x14ac:dyDescent="0.25">
      <c r="A119" s="128"/>
      <c r="B119" s="48"/>
      <c r="C119" s="83"/>
      <c r="D119" s="1"/>
      <c r="E119" s="1"/>
      <c r="F119" s="116" t="s">
        <v>411</v>
      </c>
      <c r="G119" s="86">
        <f ca="1">+MIN(R118:AA118)</f>
        <v>1092567.9726423973</v>
      </c>
      <c r="H119" s="192"/>
      <c r="I119" s="192"/>
      <c r="J119" s="192"/>
      <c r="K119" s="192"/>
      <c r="L119" s="192"/>
      <c r="M119" s="192"/>
      <c r="N119" s="192"/>
      <c r="O119" s="192"/>
      <c r="P119" s="192"/>
      <c r="Q119" s="117"/>
      <c r="R119" s="192"/>
      <c r="S119" s="192"/>
      <c r="T119" s="192"/>
      <c r="U119" s="192"/>
      <c r="V119" s="192"/>
      <c r="W119" s="192"/>
      <c r="X119" s="192"/>
      <c r="Y119" s="192"/>
      <c r="Z119" s="192"/>
      <c r="AA119" s="192"/>
      <c r="AB119" s="162"/>
      <c r="AC119" s="42"/>
    </row>
    <row r="120" spans="1:34" ht="18.75" customHeight="1" x14ac:dyDescent="0.25">
      <c r="A120" s="128"/>
      <c r="B120" s="48"/>
      <c r="C120" s="177" t="s">
        <v>426</v>
      </c>
      <c r="D120" s="88" t="str">
        <f ca="1">+IF(F120&gt;0,"FAIL","PASS")</f>
        <v>PASS</v>
      </c>
      <c r="E120" s="1"/>
      <c r="F120" s="87">
        <f ca="1">COUNTIF((R120:AA120),"Not OK")</f>
        <v>0</v>
      </c>
      <c r="G120" s="87" t="s">
        <v>413</v>
      </c>
      <c r="H120" s="57" t="s">
        <v>405</v>
      </c>
      <c r="I120" s="57" t="s">
        <v>405</v>
      </c>
      <c r="J120" s="57" t="s">
        <v>405</v>
      </c>
      <c r="K120" s="57" t="s">
        <v>405</v>
      </c>
      <c r="L120" s="57" t="s">
        <v>405</v>
      </c>
      <c r="M120" s="57" t="s">
        <v>405</v>
      </c>
      <c r="N120" s="57" t="s">
        <v>405</v>
      </c>
      <c r="O120" s="57" t="s">
        <v>405</v>
      </c>
      <c r="P120" s="57" t="s">
        <v>405</v>
      </c>
      <c r="Q120" s="119" t="s">
        <v>405</v>
      </c>
      <c r="R120" s="57" t="str">
        <f t="shared" ref="R120:AA120" ca="1" si="43">+IF(R118&gt;0,"OK","Not OK")</f>
        <v>OK</v>
      </c>
      <c r="S120" s="57" t="str">
        <f t="shared" ca="1" si="43"/>
        <v>OK</v>
      </c>
      <c r="T120" s="57" t="str">
        <f t="shared" ca="1" si="43"/>
        <v>OK</v>
      </c>
      <c r="U120" s="57" t="str">
        <f t="shared" ca="1" si="43"/>
        <v>OK</v>
      </c>
      <c r="V120" s="57" t="str">
        <f t="shared" ca="1" si="43"/>
        <v>OK</v>
      </c>
      <c r="W120" s="57" t="str">
        <f t="shared" ca="1" si="43"/>
        <v>OK</v>
      </c>
      <c r="X120" s="57" t="str">
        <f t="shared" ca="1" si="43"/>
        <v>OK</v>
      </c>
      <c r="Y120" s="57" t="str">
        <f t="shared" ca="1" si="43"/>
        <v>OK</v>
      </c>
      <c r="Z120" s="57" t="str">
        <f t="shared" ca="1" si="43"/>
        <v>OK</v>
      </c>
      <c r="AA120" s="57" t="str">
        <f t="shared" ca="1" si="43"/>
        <v>OK</v>
      </c>
      <c r="AB120" s="162"/>
      <c r="AC120" s="42"/>
    </row>
    <row r="121" spans="1:34" x14ac:dyDescent="0.25">
      <c r="A121" s="128"/>
      <c r="B121" s="48"/>
      <c r="C121" s="38" t="s">
        <v>427</v>
      </c>
      <c r="D121" s="54"/>
      <c r="E121" s="54"/>
      <c r="F121" s="54"/>
      <c r="G121" s="82">
        <f>+MIN(R90:AA90)</f>
        <v>0</v>
      </c>
      <c r="H121" s="59"/>
      <c r="I121" s="59"/>
      <c r="J121" s="59"/>
      <c r="K121" s="59"/>
      <c r="L121" s="59"/>
      <c r="M121" s="59"/>
      <c r="N121" s="59"/>
      <c r="O121" s="59"/>
      <c r="P121" s="59"/>
      <c r="Q121" s="332" t="str">
        <f>+C103</f>
        <v>Margin exceeding Minimum Balance</v>
      </c>
      <c r="R121" s="330">
        <f t="shared" ref="R121:AA121" ca="1" si="44">+R103</f>
        <v>-98116.554781992047</v>
      </c>
      <c r="S121" s="330">
        <f t="shared" ca="1" si="44"/>
        <v>-203396.41925892106</v>
      </c>
      <c r="T121" s="330">
        <f t="shared" ca="1" si="44"/>
        <v>-235439.36102538867</v>
      </c>
      <c r="U121" s="330">
        <f t="shared" ca="1" si="44"/>
        <v>-280860.02162718563</v>
      </c>
      <c r="V121" s="330">
        <f t="shared" ca="1" si="44"/>
        <v>-374061.85544101853</v>
      </c>
      <c r="W121" s="330">
        <f t="shared" ca="1" si="44"/>
        <v>-362592.1259311281</v>
      </c>
      <c r="X121" s="330">
        <f t="shared" ca="1" si="44"/>
        <v>-336760.90183103987</v>
      </c>
      <c r="Y121" s="330">
        <f t="shared" ca="1" si="44"/>
        <v>-354239.05324894981</v>
      </c>
      <c r="Z121" s="330">
        <f t="shared" ca="1" si="44"/>
        <v>-364233.24769521796</v>
      </c>
      <c r="AA121" s="330">
        <f t="shared" ca="1" si="44"/>
        <v>-633306.94603041152</v>
      </c>
      <c r="AB121" s="162"/>
      <c r="AC121" s="42"/>
    </row>
    <row r="122" spans="1:34" x14ac:dyDescent="0.25">
      <c r="A122" s="128"/>
      <c r="B122" s="48"/>
      <c r="C122" s="155"/>
      <c r="D122" s="54"/>
      <c r="E122" s="54"/>
      <c r="F122" s="54"/>
      <c r="G122" s="30"/>
      <c r="H122" s="59"/>
      <c r="I122" s="59"/>
      <c r="J122" s="59"/>
      <c r="K122" s="59"/>
      <c r="L122" s="59"/>
      <c r="M122" s="59"/>
      <c r="N122" s="59"/>
      <c r="O122" s="59"/>
      <c r="P122" s="59"/>
      <c r="Q122" s="332" t="str">
        <f>+C116</f>
        <v>Cumulative Paid (formula check)</v>
      </c>
      <c r="R122" s="330">
        <f t="shared" ref="R122:AA122" si="45">+R116</f>
        <v>-2381369.0548487785</v>
      </c>
      <c r="S122" s="330">
        <f t="shared" si="45"/>
        <v>-2645247.9270326286</v>
      </c>
      <c r="T122" s="330">
        <f t="shared" si="45"/>
        <v>-2918239.8215942886</v>
      </c>
      <c r="U122" s="330">
        <f t="shared" si="45"/>
        <v>-3200659.4555710545</v>
      </c>
      <c r="V122" s="330">
        <f t="shared" si="45"/>
        <v>-3492832.4147119899</v>
      </c>
      <c r="W122" s="330">
        <f t="shared" si="45"/>
        <v>-3795095.5288274661</v>
      </c>
      <c r="X122" s="330">
        <f t="shared" si="45"/>
        <v>-4107797.2601013547</v>
      </c>
      <c r="Y122" s="330">
        <f t="shared" si="45"/>
        <v>-4431298.1048135236</v>
      </c>
      <c r="Z122" s="330">
        <f t="shared" si="45"/>
        <v>-4765971.0089357728</v>
      </c>
      <c r="AA122" s="330">
        <f t="shared" si="45"/>
        <v>-5112201.7980803112</v>
      </c>
      <c r="AB122" s="162"/>
      <c r="AC122" s="42"/>
    </row>
    <row r="123" spans="1:34" x14ac:dyDescent="0.25">
      <c r="A123" s="128"/>
      <c r="B123" s="48"/>
      <c r="C123" s="178" t="s">
        <v>116</v>
      </c>
      <c r="D123" s="54"/>
      <c r="E123" s="54"/>
      <c r="F123" s="54"/>
      <c r="G123" s="54"/>
      <c r="H123" s="54"/>
      <c r="I123" s="54"/>
      <c r="J123" s="54"/>
      <c r="K123" s="54"/>
      <c r="L123" s="54"/>
      <c r="M123" s="54"/>
      <c r="N123" s="54"/>
      <c r="O123" s="54"/>
      <c r="P123" s="54"/>
      <c r="Q123" s="332" t="s">
        <v>428</v>
      </c>
      <c r="R123" s="331">
        <f t="shared" ref="R123:AA123" ca="1" si="46">+R121/R122</f>
        <v>4.1201742578376888E-2</v>
      </c>
      <c r="S123" s="331">
        <f t="shared" ca="1" si="46"/>
        <v>7.6891249844806026E-2</v>
      </c>
      <c r="T123" s="331">
        <f t="shared" ca="1" si="46"/>
        <v>8.0678551256546077E-2</v>
      </c>
      <c r="U123" s="331">
        <f t="shared" ca="1" si="46"/>
        <v>8.7750673111543262E-2</v>
      </c>
      <c r="V123" s="331">
        <f t="shared" ca="1" si="46"/>
        <v>0.1070941319329982</v>
      </c>
      <c r="W123" s="331">
        <f t="shared" ca="1" si="46"/>
        <v>9.5542292197096465E-2</v>
      </c>
      <c r="X123" s="331">
        <f t="shared" ca="1" si="46"/>
        <v>8.1980896453183461E-2</v>
      </c>
      <c r="Y123" s="331">
        <f t="shared" ca="1" si="46"/>
        <v>7.9940244341529534E-2</v>
      </c>
      <c r="Z123" s="331">
        <f t="shared" ca="1" si="46"/>
        <v>7.6423722891371546E-2</v>
      </c>
      <c r="AA123" s="331">
        <f t="shared" ca="1" si="46"/>
        <v>0.12388144502985492</v>
      </c>
      <c r="AB123" s="162"/>
      <c r="AC123" s="42"/>
    </row>
    <row r="124" spans="1:34" x14ac:dyDescent="0.25">
      <c r="A124" s="128"/>
      <c r="B124" s="48"/>
      <c r="C124" s="178" t="s">
        <v>117</v>
      </c>
      <c r="D124" s="54"/>
      <c r="E124" s="54"/>
      <c r="F124" s="54"/>
      <c r="G124" s="54"/>
      <c r="H124" s="54"/>
      <c r="I124" s="54"/>
      <c r="J124" s="54"/>
      <c r="K124" s="54"/>
      <c r="L124" s="54"/>
      <c r="M124" s="54"/>
      <c r="N124" s="54"/>
      <c r="O124" s="54"/>
      <c r="P124" s="54"/>
      <c r="Q124" s="124"/>
      <c r="R124" s="54"/>
      <c r="S124" s="54"/>
      <c r="T124" s="54"/>
      <c r="U124" s="54"/>
      <c r="V124" s="54"/>
      <c r="W124" s="54"/>
      <c r="X124" s="54"/>
      <c r="Y124" s="54"/>
      <c r="Z124" s="54"/>
      <c r="AA124" s="54"/>
      <c r="AB124" s="162"/>
      <c r="AC124" s="42"/>
    </row>
    <row r="125" spans="1:34" x14ac:dyDescent="0.25">
      <c r="A125" s="128"/>
      <c r="B125" s="48"/>
      <c r="C125" s="178" t="s">
        <v>118</v>
      </c>
      <c r="D125" s="54"/>
      <c r="E125" s="54"/>
      <c r="F125" s="54"/>
      <c r="G125" s="54"/>
      <c r="H125" s="54"/>
      <c r="I125" s="54"/>
      <c r="J125" s="54"/>
      <c r="K125" s="54"/>
      <c r="L125" s="54"/>
      <c r="M125" s="54"/>
      <c r="N125" s="54"/>
      <c r="O125" s="54"/>
      <c r="P125" s="54"/>
      <c r="Q125" s="124"/>
      <c r="R125" s="54"/>
      <c r="S125" s="54"/>
      <c r="T125" s="54"/>
      <c r="U125" s="54"/>
      <c r="V125" s="54"/>
      <c r="W125" s="54"/>
      <c r="X125" s="54"/>
      <c r="Y125" s="54"/>
      <c r="Z125" s="54"/>
      <c r="AA125" s="54"/>
      <c r="AB125" s="162"/>
      <c r="AC125" s="42"/>
    </row>
    <row r="126" spans="1:34" x14ac:dyDescent="0.25">
      <c r="A126" s="128"/>
      <c r="B126" s="48"/>
      <c r="C126" s="178" t="s">
        <v>119</v>
      </c>
      <c r="D126" s="54"/>
      <c r="E126" s="54"/>
      <c r="F126" s="54"/>
      <c r="G126" s="54"/>
      <c r="H126" s="54"/>
      <c r="I126" s="54"/>
      <c r="J126" s="54"/>
      <c r="K126" s="54"/>
      <c r="L126" s="54"/>
      <c r="M126" s="54"/>
      <c r="N126" s="54"/>
      <c r="O126" s="54"/>
      <c r="P126" s="54"/>
      <c r="Q126" s="124"/>
      <c r="R126" s="54"/>
      <c r="S126" s="54"/>
      <c r="T126" s="54"/>
      <c r="U126" s="54"/>
      <c r="V126" s="54"/>
      <c r="W126" s="54"/>
      <c r="X126" s="54"/>
      <c r="Y126" s="54"/>
      <c r="Z126" s="54"/>
      <c r="AA126" s="54"/>
      <c r="AB126" s="162"/>
      <c r="AC126" s="42"/>
    </row>
    <row r="127" spans="1:34" x14ac:dyDescent="0.25">
      <c r="A127" s="131"/>
      <c r="B127" s="60"/>
      <c r="C127" s="61"/>
      <c r="D127" s="61"/>
      <c r="E127" s="61"/>
      <c r="F127" s="61"/>
      <c r="G127" s="61"/>
      <c r="H127" s="61"/>
      <c r="I127" s="61"/>
      <c r="J127" s="61"/>
      <c r="K127" s="61"/>
      <c r="L127" s="61"/>
      <c r="M127" s="61"/>
      <c r="N127" s="61"/>
      <c r="O127" s="61"/>
      <c r="P127" s="61"/>
      <c r="Q127" s="62"/>
      <c r="R127" s="61"/>
      <c r="S127" s="61"/>
      <c r="T127" s="61"/>
      <c r="U127" s="61"/>
      <c r="V127" s="61"/>
      <c r="W127" s="61"/>
      <c r="X127" s="61"/>
      <c r="Y127" s="61"/>
      <c r="Z127" s="61"/>
      <c r="AA127" s="61"/>
      <c r="AB127" s="164"/>
      <c r="AC127" s="42"/>
    </row>
    <row r="128" spans="1:34" x14ac:dyDescent="0.25">
      <c r="A128" s="4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row>
    <row r="129" spans="1:34" x14ac:dyDescent="0.25">
      <c r="A129" s="4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row>
    <row r="130" spans="1:34" x14ac:dyDescent="0.25">
      <c r="A130" s="4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row>
    <row r="131" spans="1:34" x14ac:dyDescent="0.25">
      <c r="A131" s="4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row>
    <row r="132" spans="1:34" x14ac:dyDescent="0.25">
      <c r="A132" s="4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row>
    <row r="133" spans="1:34" x14ac:dyDescent="0.25">
      <c r="A133" s="4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row>
    <row r="134" spans="1:34" x14ac:dyDescent="0.25">
      <c r="A134" s="4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row>
    <row r="135" spans="1:34" x14ac:dyDescent="0.25">
      <c r="A135" s="4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row>
    <row r="136" spans="1:34" x14ac:dyDescent="0.25">
      <c r="A136" s="4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row>
    <row r="137" spans="1:34" x14ac:dyDescent="0.25">
      <c r="A137" s="4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row>
    <row r="138" spans="1:34" x14ac:dyDescent="0.25">
      <c r="A138" s="4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row>
    <row r="139" spans="1:34" x14ac:dyDescent="0.25">
      <c r="A139" s="4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row>
    <row r="140" spans="1:34" x14ac:dyDescent="0.25">
      <c r="A140" s="4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row>
    <row r="141" spans="1:34" x14ac:dyDescent="0.25">
      <c r="A141" s="4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row>
    <row r="142" spans="1:34" x14ac:dyDescent="0.25">
      <c r="A142" s="4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row>
    <row r="143" spans="1:34" x14ac:dyDescent="0.25">
      <c r="A143" s="4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row>
    <row r="144" spans="1:34" x14ac:dyDescent="0.25">
      <c r="A144" s="4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row>
    <row r="145" spans="1:34" x14ac:dyDescent="0.25">
      <c r="A145" s="4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row>
    <row r="146" spans="1:34" x14ac:dyDescent="0.25">
      <c r="A146" s="4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row>
    <row r="147" spans="1:34" x14ac:dyDescent="0.25">
      <c r="A147" s="4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row>
    <row r="148" spans="1:34" x14ac:dyDescent="0.25">
      <c r="A148" s="4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row>
    <row r="149" spans="1:34" x14ac:dyDescent="0.25">
      <c r="A149" s="4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row>
    <row r="150" spans="1:34" x14ac:dyDescent="0.25">
      <c r="A150" s="4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row>
    <row r="151" spans="1:34" x14ac:dyDescent="0.25">
      <c r="A151" s="4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row>
    <row r="152" spans="1:34" x14ac:dyDescent="0.25">
      <c r="A152" s="4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row>
    <row r="153" spans="1:34" x14ac:dyDescent="0.25">
      <c r="A153" s="4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row>
    <row r="154" spans="1:34" x14ac:dyDescent="0.25">
      <c r="A154" s="4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row>
    <row r="155" spans="1:34" x14ac:dyDescent="0.25">
      <c r="A155" s="42"/>
      <c r="B155" s="42"/>
      <c r="C155" s="42"/>
      <c r="D155" s="42"/>
      <c r="E155" s="42"/>
      <c r="F155" s="42"/>
      <c r="G155" s="42"/>
      <c r="H155" s="42"/>
      <c r="I155" s="42"/>
      <c r="J155" s="42"/>
      <c r="K155" s="42"/>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row>
    <row r="156" spans="1:34" x14ac:dyDescent="0.25">
      <c r="A156" s="42"/>
      <c r="B156" s="42"/>
      <c r="C156" s="42"/>
      <c r="D156" s="42"/>
      <c r="E156" s="42"/>
      <c r="F156" s="42"/>
      <c r="G156" s="42"/>
      <c r="H156" s="42"/>
      <c r="I156" s="42"/>
      <c r="J156" s="42"/>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row>
    <row r="157" spans="1:34" x14ac:dyDescent="0.25">
      <c r="A157" s="42"/>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c r="AA157" s="42"/>
      <c r="AB157" s="42"/>
      <c r="AC157" s="42"/>
      <c r="AD157" s="42"/>
      <c r="AE157" s="42"/>
      <c r="AF157" s="42"/>
      <c r="AG157" s="42"/>
      <c r="AH157" s="42"/>
    </row>
    <row r="158" spans="1:34" x14ac:dyDescent="0.25">
      <c r="A158" s="42"/>
      <c r="B158" s="42"/>
      <c r="C158" s="42"/>
      <c r="D158" s="42"/>
      <c r="E158" s="42"/>
      <c r="F158" s="42"/>
      <c r="G158" s="42"/>
      <c r="H158" s="42"/>
      <c r="I158" s="42"/>
      <c r="J158" s="42"/>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row>
    <row r="159" spans="1:34" x14ac:dyDescent="0.25">
      <c r="A159" s="42"/>
      <c r="B159" s="42"/>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row>
    <row r="160" spans="1:34" x14ac:dyDescent="0.25">
      <c r="A160" s="42"/>
      <c r="B160" s="42"/>
      <c r="C160" s="42"/>
      <c r="D160" s="42"/>
      <c r="E160" s="42"/>
      <c r="F160" s="42"/>
      <c r="G160" s="42"/>
      <c r="H160" s="42"/>
      <c r="I160" s="42"/>
      <c r="J160" s="42"/>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row>
    <row r="161" spans="1:34" x14ac:dyDescent="0.25">
      <c r="A161" s="42"/>
      <c r="B161" s="42"/>
      <c r="C161" s="42"/>
      <c r="D161" s="42"/>
      <c r="E161" s="42"/>
      <c r="F161" s="42"/>
      <c r="G161" s="42"/>
      <c r="H161" s="42"/>
      <c r="I161" s="42"/>
      <c r="J161" s="42"/>
      <c r="K161" s="42"/>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row>
    <row r="162" spans="1:34" x14ac:dyDescent="0.25">
      <c r="A162" s="42"/>
      <c r="B162" s="42"/>
      <c r="C162" s="42"/>
      <c r="D162" s="42"/>
      <c r="E162" s="42"/>
      <c r="F162" s="42"/>
      <c r="G162" s="42"/>
      <c r="H162" s="42"/>
      <c r="I162" s="42"/>
      <c r="J162" s="42"/>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row>
    <row r="163" spans="1:34" x14ac:dyDescent="0.25">
      <c r="A163" s="42"/>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row>
    <row r="164" spans="1:34" x14ac:dyDescent="0.25">
      <c r="A164" s="42"/>
      <c r="B164" s="42"/>
      <c r="C164" s="42"/>
      <c r="D164" s="42"/>
      <c r="E164" s="42"/>
      <c r="F164" s="42"/>
      <c r="G164" s="42"/>
      <c r="H164" s="42"/>
      <c r="I164" s="42"/>
      <c r="J164" s="42"/>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row>
    <row r="165" spans="1:34" x14ac:dyDescent="0.25">
      <c r="A165" s="42"/>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row>
    <row r="166" spans="1:34" x14ac:dyDescent="0.25">
      <c r="A166" s="42"/>
      <c r="B166" s="42"/>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row>
    <row r="167" spans="1:34" x14ac:dyDescent="0.25">
      <c r="A167" s="42"/>
      <c r="B167" s="42"/>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row>
    <row r="168" spans="1:34" x14ac:dyDescent="0.25">
      <c r="A168" s="42"/>
      <c r="B168" s="42"/>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row>
    <row r="169" spans="1:34" x14ac:dyDescent="0.25">
      <c r="A169" s="42"/>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row>
    <row r="170" spans="1:34" x14ac:dyDescent="0.25">
      <c r="A170" s="42"/>
      <c r="B170" s="42"/>
      <c r="C170" s="42"/>
      <c r="D170" s="42"/>
      <c r="E170" s="42"/>
      <c r="F170" s="42"/>
      <c r="G170" s="42"/>
      <c r="H170" s="42"/>
      <c r="I170" s="42"/>
      <c r="J170" s="42"/>
      <c r="K170" s="42"/>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row>
    <row r="171" spans="1:34" x14ac:dyDescent="0.25">
      <c r="A171" s="42"/>
      <c r="B171" s="42"/>
      <c r="C171" s="42"/>
      <c r="D171" s="42"/>
      <c r="E171" s="42"/>
      <c r="F171" s="42"/>
      <c r="G171" s="42"/>
      <c r="H171" s="42"/>
      <c r="I171" s="42"/>
      <c r="J171" s="42"/>
      <c r="K171" s="42"/>
      <c r="L171" s="42"/>
      <c r="M171" s="42"/>
      <c r="N171" s="42"/>
      <c r="O171" s="42"/>
      <c r="P171" s="42"/>
      <c r="Q171" s="42"/>
      <c r="R171" s="42"/>
      <c r="S171" s="42"/>
      <c r="T171" s="42"/>
      <c r="U171" s="42"/>
      <c r="V171" s="42"/>
      <c r="W171" s="42"/>
      <c r="X171" s="42"/>
      <c r="Y171" s="42"/>
      <c r="Z171" s="42"/>
      <c r="AA171" s="42"/>
      <c r="AB171" s="42"/>
      <c r="AC171" s="42"/>
      <c r="AD171" s="42"/>
      <c r="AE171" s="42"/>
      <c r="AF171" s="42"/>
      <c r="AG171" s="42"/>
      <c r="AH171" s="42"/>
    </row>
    <row r="172" spans="1:34" x14ac:dyDescent="0.25">
      <c r="A172" s="42"/>
      <c r="B172" s="42"/>
      <c r="C172" s="42"/>
      <c r="D172" s="42"/>
      <c r="E172" s="42"/>
      <c r="F172" s="42"/>
      <c r="G172" s="42"/>
      <c r="H172" s="42"/>
      <c r="I172" s="42"/>
      <c r="J172" s="42"/>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row>
    <row r="173" spans="1:34" x14ac:dyDescent="0.25">
      <c r="A173" s="42"/>
      <c r="B173" s="42"/>
      <c r="C173" s="42"/>
      <c r="D173" s="42"/>
      <c r="E173" s="42"/>
      <c r="F173" s="42"/>
      <c r="G173" s="42"/>
      <c r="H173" s="42"/>
      <c r="I173" s="42"/>
      <c r="J173" s="42"/>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row>
    <row r="174" spans="1:34" x14ac:dyDescent="0.25">
      <c r="A174" s="42"/>
      <c r="B174" s="42"/>
      <c r="C174" s="42"/>
      <c r="D174" s="42"/>
      <c r="E174" s="42"/>
      <c r="F174" s="42"/>
      <c r="G174" s="42"/>
      <c r="H174" s="42"/>
      <c r="I174" s="42"/>
      <c r="J174" s="42"/>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row>
    <row r="175" spans="1:34" x14ac:dyDescent="0.25">
      <c r="A175" s="42"/>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row>
    <row r="176" spans="1:34" x14ac:dyDescent="0.25">
      <c r="A176" s="42"/>
      <c r="B176" s="42"/>
      <c r="C176" s="42"/>
      <c r="D176" s="42"/>
      <c r="E176" s="42"/>
      <c r="F176" s="42"/>
      <c r="G176" s="42"/>
      <c r="H176" s="42"/>
      <c r="I176" s="42"/>
      <c r="J176" s="42"/>
      <c r="K176" s="42"/>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row>
    <row r="177" spans="1:34" x14ac:dyDescent="0.25">
      <c r="A177" s="42"/>
      <c r="B177" s="42"/>
      <c r="C177" s="42"/>
      <c r="D177" s="42"/>
      <c r="E177" s="42"/>
      <c r="F177" s="42"/>
      <c r="G177" s="42"/>
      <c r="H177" s="42"/>
      <c r="I177" s="42"/>
      <c r="J177" s="42"/>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row>
    <row r="178" spans="1:34" x14ac:dyDescent="0.25">
      <c r="A178" s="42"/>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row>
    <row r="179" spans="1:34" x14ac:dyDescent="0.25">
      <c r="A179" s="42"/>
      <c r="B179" s="42"/>
      <c r="C179" s="42"/>
      <c r="D179" s="42"/>
      <c r="E179" s="42"/>
      <c r="F179" s="42"/>
      <c r="G179" s="42"/>
      <c r="H179" s="42"/>
      <c r="I179" s="42"/>
      <c r="J179" s="42"/>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row>
    <row r="180" spans="1:34" x14ac:dyDescent="0.25">
      <c r="A180" s="42"/>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row>
    <row r="181" spans="1:34" x14ac:dyDescent="0.25">
      <c r="A181" s="42"/>
      <c r="B181" s="42"/>
      <c r="C181" s="42"/>
      <c r="D181" s="42"/>
      <c r="E181" s="42"/>
      <c r="F181" s="42"/>
      <c r="G181" s="42"/>
      <c r="H181" s="42"/>
      <c r="I181" s="42"/>
      <c r="J181" s="42"/>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row>
    <row r="182" spans="1:34" x14ac:dyDescent="0.25">
      <c r="A182" s="42"/>
      <c r="B182" s="42"/>
      <c r="C182" s="42"/>
      <c r="D182" s="42"/>
      <c r="E182" s="42"/>
      <c r="F182" s="42"/>
      <c r="G182" s="42"/>
      <c r="H182" s="42"/>
      <c r="I182" s="42"/>
      <c r="J182" s="42"/>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row>
    <row r="183" spans="1:34" x14ac:dyDescent="0.25">
      <c r="A183" s="42"/>
      <c r="B183" s="42"/>
      <c r="C183" s="42"/>
      <c r="D183" s="42"/>
      <c r="E183" s="42"/>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row>
    <row r="184" spans="1:34" x14ac:dyDescent="0.25">
      <c r="A184" s="42"/>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row>
    <row r="185" spans="1:34" x14ac:dyDescent="0.25">
      <c r="A185" s="42"/>
      <c r="B185" s="42"/>
      <c r="C185" s="42"/>
      <c r="D185" s="42"/>
      <c r="E185" s="42"/>
      <c r="F185" s="42"/>
      <c r="G185" s="42"/>
      <c r="H185" s="42"/>
      <c r="I185" s="42"/>
      <c r="J185" s="42"/>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row>
    <row r="186" spans="1:34" x14ac:dyDescent="0.25">
      <c r="A186" s="42"/>
      <c r="B186" s="42"/>
      <c r="C186" s="42"/>
      <c r="D186" s="42"/>
      <c r="E186" s="42"/>
      <c r="F186" s="42"/>
      <c r="G186" s="42"/>
      <c r="H186" s="42"/>
      <c r="I186" s="42"/>
      <c r="J186" s="42"/>
      <c r="K186" s="42"/>
      <c r="L186" s="42"/>
      <c r="M186" s="42"/>
      <c r="N186" s="42"/>
      <c r="O186" s="42"/>
      <c r="P186" s="42"/>
      <c r="Q186" s="42"/>
      <c r="R186" s="42"/>
      <c r="S186" s="42"/>
      <c r="T186" s="42"/>
      <c r="U186" s="42"/>
      <c r="V186" s="42"/>
      <c r="W186" s="42"/>
      <c r="X186" s="42"/>
      <c r="Y186" s="42"/>
      <c r="Z186" s="42"/>
      <c r="AA186" s="42"/>
      <c r="AB186" s="42"/>
      <c r="AC186" s="42"/>
      <c r="AD186" s="42"/>
      <c r="AE186" s="42"/>
      <c r="AF186" s="42"/>
      <c r="AG186" s="42"/>
      <c r="AH186" s="42"/>
    </row>
    <row r="187" spans="1:34" x14ac:dyDescent="0.25">
      <c r="A187" s="42"/>
      <c r="B187" s="42"/>
      <c r="C187" s="42"/>
      <c r="D187" s="42"/>
      <c r="E187" s="42"/>
      <c r="F187" s="42"/>
      <c r="G187" s="42"/>
      <c r="H187" s="42"/>
      <c r="I187" s="42"/>
      <c r="J187" s="42"/>
      <c r="K187" s="42"/>
      <c r="L187" s="42"/>
      <c r="M187" s="42"/>
      <c r="N187" s="42"/>
      <c r="O187" s="42"/>
      <c r="P187" s="42"/>
      <c r="Q187" s="42"/>
      <c r="R187" s="42"/>
      <c r="S187" s="42"/>
      <c r="T187" s="42"/>
      <c r="U187" s="42"/>
      <c r="V187" s="42"/>
      <c r="W187" s="42"/>
      <c r="X187" s="42"/>
      <c r="Y187" s="42"/>
      <c r="Z187" s="42"/>
      <c r="AA187" s="42"/>
      <c r="AB187" s="42"/>
      <c r="AC187" s="42"/>
      <c r="AD187" s="42"/>
      <c r="AE187" s="42"/>
      <c r="AF187" s="42"/>
      <c r="AG187" s="42"/>
      <c r="AH187" s="42"/>
    </row>
    <row r="188" spans="1:34" x14ac:dyDescent="0.25">
      <c r="A188" s="42"/>
      <c r="B188" s="42"/>
      <c r="C188" s="42"/>
      <c r="D188" s="42"/>
      <c r="E188" s="42"/>
      <c r="F188" s="42"/>
      <c r="G188" s="42"/>
      <c r="H188" s="42"/>
      <c r="I188" s="42"/>
      <c r="J188" s="42"/>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row>
    <row r="189" spans="1:34" x14ac:dyDescent="0.25">
      <c r="A189" s="42"/>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row>
    <row r="190" spans="1:34" x14ac:dyDescent="0.25">
      <c r="A190" s="42"/>
      <c r="B190" s="42"/>
      <c r="C190" s="42"/>
      <c r="D190" s="42"/>
      <c r="E190" s="42"/>
      <c r="F190" s="42"/>
      <c r="G190" s="42"/>
      <c r="H190" s="42"/>
      <c r="I190" s="42"/>
      <c r="J190" s="42"/>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row>
    <row r="191" spans="1:34" x14ac:dyDescent="0.25">
      <c r="A191" s="42"/>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c r="AA191" s="42"/>
      <c r="AB191" s="42"/>
      <c r="AC191" s="42"/>
      <c r="AD191" s="42"/>
      <c r="AE191" s="42"/>
      <c r="AF191" s="42"/>
      <c r="AG191" s="42"/>
      <c r="AH191" s="42"/>
    </row>
    <row r="192" spans="1:34" x14ac:dyDescent="0.25">
      <c r="A192" s="42"/>
      <c r="B192" s="42"/>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row>
    <row r="193" spans="1:34" x14ac:dyDescent="0.25">
      <c r="A193" s="42"/>
      <c r="B193" s="42"/>
      <c r="C193" s="42"/>
      <c r="D193" s="42"/>
      <c r="E193" s="42"/>
      <c r="F193" s="42"/>
      <c r="G193" s="42"/>
      <c r="H193" s="42"/>
      <c r="I193" s="42"/>
      <c r="J193" s="42"/>
      <c r="K193" s="42"/>
      <c r="L193" s="42"/>
      <c r="M193" s="42"/>
      <c r="N193" s="42"/>
      <c r="O193" s="42"/>
      <c r="P193" s="42"/>
      <c r="Q193" s="42"/>
      <c r="R193" s="42"/>
      <c r="S193" s="42"/>
      <c r="T193" s="42"/>
      <c r="U193" s="42"/>
      <c r="V193" s="42"/>
      <c r="W193" s="42"/>
      <c r="X193" s="42"/>
      <c r="Y193" s="42"/>
      <c r="Z193" s="42"/>
      <c r="AA193" s="42"/>
      <c r="AB193" s="42"/>
      <c r="AC193" s="42"/>
      <c r="AD193" s="42"/>
      <c r="AE193" s="42"/>
      <c r="AF193" s="42"/>
      <c r="AG193" s="42"/>
      <c r="AH193" s="42"/>
    </row>
    <row r="194" spans="1:34" x14ac:dyDescent="0.25">
      <c r="A194" s="42"/>
      <c r="B194" s="42"/>
      <c r="C194" s="42"/>
      <c r="D194" s="42"/>
      <c r="E194" s="42"/>
      <c r="F194" s="42"/>
      <c r="G194" s="42"/>
      <c r="H194" s="42"/>
      <c r="I194" s="42"/>
      <c r="J194" s="42"/>
      <c r="K194" s="42"/>
      <c r="L194" s="42"/>
      <c r="M194" s="42"/>
      <c r="N194" s="42"/>
      <c r="O194" s="42"/>
      <c r="P194" s="42"/>
      <c r="Q194" s="42"/>
      <c r="R194" s="42"/>
      <c r="S194" s="42"/>
      <c r="T194" s="42"/>
      <c r="U194" s="42"/>
      <c r="V194" s="42"/>
      <c r="W194" s="42"/>
      <c r="X194" s="42"/>
      <c r="Y194" s="42"/>
      <c r="Z194" s="42"/>
      <c r="AA194" s="42"/>
      <c r="AB194" s="42"/>
      <c r="AC194" s="42"/>
      <c r="AD194" s="42"/>
      <c r="AE194" s="42"/>
      <c r="AF194" s="42"/>
      <c r="AG194" s="42"/>
      <c r="AH194" s="42"/>
    </row>
    <row r="195" spans="1:34" x14ac:dyDescent="0.25">
      <c r="A195" s="42"/>
      <c r="B195" s="42"/>
      <c r="C195" s="42"/>
      <c r="D195" s="42"/>
      <c r="E195" s="42"/>
      <c r="F195" s="42"/>
      <c r="G195" s="42"/>
      <c r="H195" s="42"/>
      <c r="I195" s="42"/>
      <c r="J195" s="42"/>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row>
    <row r="196" spans="1:34" x14ac:dyDescent="0.25">
      <c r="A196" s="42"/>
      <c r="B196" s="42"/>
      <c r="C196" s="42"/>
      <c r="D196" s="42"/>
      <c r="E196" s="42"/>
      <c r="F196" s="42"/>
      <c r="G196" s="42"/>
      <c r="H196" s="42"/>
      <c r="I196" s="42"/>
      <c r="J196" s="42"/>
      <c r="K196" s="42"/>
      <c r="L196" s="42"/>
      <c r="M196" s="42"/>
      <c r="N196" s="42"/>
      <c r="O196" s="42"/>
      <c r="P196" s="42"/>
      <c r="Q196" s="42"/>
      <c r="R196" s="42"/>
      <c r="S196" s="42"/>
      <c r="T196" s="42"/>
      <c r="U196" s="42"/>
      <c r="V196" s="42"/>
      <c r="W196" s="42"/>
      <c r="X196" s="42"/>
      <c r="Y196" s="42"/>
      <c r="Z196" s="42"/>
      <c r="AA196" s="42"/>
      <c r="AB196" s="42"/>
      <c r="AC196" s="42"/>
      <c r="AD196" s="42"/>
      <c r="AE196" s="42"/>
      <c r="AF196" s="42"/>
      <c r="AG196" s="42"/>
      <c r="AH196" s="42"/>
    </row>
    <row r="197" spans="1:34" x14ac:dyDescent="0.25">
      <c r="A197" s="42"/>
      <c r="B197" s="42"/>
      <c r="C197" s="42"/>
      <c r="D197" s="42"/>
      <c r="E197" s="42"/>
      <c r="F197" s="42"/>
      <c r="G197" s="42"/>
      <c r="H197" s="42"/>
      <c r="I197" s="42"/>
      <c r="J197" s="42"/>
      <c r="K197" s="42"/>
      <c r="L197" s="42"/>
      <c r="M197" s="42"/>
      <c r="N197" s="42"/>
      <c r="O197" s="42"/>
      <c r="P197" s="42"/>
      <c r="Q197" s="42"/>
      <c r="R197" s="42"/>
      <c r="S197" s="42"/>
      <c r="T197" s="42"/>
      <c r="U197" s="42"/>
      <c r="V197" s="42"/>
      <c r="W197" s="42"/>
      <c r="X197" s="42"/>
      <c r="Y197" s="42"/>
      <c r="Z197" s="42"/>
      <c r="AA197" s="42"/>
      <c r="AB197" s="42"/>
      <c r="AC197" s="42"/>
      <c r="AD197" s="42"/>
      <c r="AE197" s="42"/>
      <c r="AF197" s="42"/>
      <c r="AG197" s="42"/>
      <c r="AH197" s="42"/>
    </row>
    <row r="198" spans="1:34" x14ac:dyDescent="0.25">
      <c r="A198" s="42"/>
      <c r="B198" s="42"/>
      <c r="C198" s="42"/>
      <c r="D198" s="42"/>
      <c r="E198" s="42"/>
      <c r="F198" s="42"/>
      <c r="G198" s="42"/>
      <c r="H198" s="42"/>
      <c r="I198" s="42"/>
      <c r="J198" s="42"/>
      <c r="K198" s="42"/>
      <c r="L198" s="42"/>
      <c r="M198" s="42"/>
      <c r="N198" s="42"/>
      <c r="O198" s="42"/>
      <c r="P198" s="42"/>
      <c r="Q198" s="42"/>
      <c r="R198" s="42"/>
      <c r="S198" s="42"/>
      <c r="T198" s="42"/>
      <c r="U198" s="42"/>
      <c r="V198" s="42"/>
      <c r="W198" s="42"/>
      <c r="X198" s="42"/>
      <c r="Y198" s="42"/>
      <c r="Z198" s="42"/>
      <c r="AA198" s="42"/>
      <c r="AB198" s="42"/>
      <c r="AC198" s="42"/>
      <c r="AD198" s="42"/>
      <c r="AE198" s="42"/>
      <c r="AF198" s="42"/>
      <c r="AG198" s="42"/>
      <c r="AH198" s="42"/>
    </row>
    <row r="199" spans="1:34" x14ac:dyDescent="0.25">
      <c r="A199" s="42"/>
      <c r="B199" s="42"/>
      <c r="C199" s="42"/>
      <c r="D199" s="42"/>
      <c r="E199" s="42"/>
      <c r="F199" s="42"/>
      <c r="G199" s="42"/>
      <c r="H199" s="42"/>
      <c r="I199" s="42"/>
      <c r="J199" s="42"/>
      <c r="K199" s="42"/>
      <c r="L199" s="42"/>
      <c r="M199" s="42"/>
      <c r="N199" s="42"/>
      <c r="O199" s="42"/>
      <c r="P199" s="42"/>
      <c r="Q199" s="42"/>
      <c r="R199" s="42"/>
      <c r="S199" s="42"/>
      <c r="T199" s="42"/>
      <c r="U199" s="42"/>
      <c r="V199" s="42"/>
      <c r="W199" s="42"/>
      <c r="X199" s="42"/>
      <c r="Y199" s="42"/>
      <c r="Z199" s="42"/>
      <c r="AA199" s="42"/>
      <c r="AB199" s="42"/>
      <c r="AC199" s="42"/>
      <c r="AD199" s="42"/>
      <c r="AE199" s="42"/>
      <c r="AF199" s="42"/>
      <c r="AG199" s="42"/>
      <c r="AH199" s="42"/>
    </row>
    <row r="200" spans="1:34" x14ac:dyDescent="0.25">
      <c r="A200" s="42"/>
      <c r="B200" s="42"/>
      <c r="C200" s="42"/>
      <c r="D200" s="42"/>
      <c r="E200" s="42"/>
      <c r="F200" s="42"/>
      <c r="G200" s="42"/>
      <c r="H200" s="42"/>
      <c r="I200" s="42"/>
      <c r="J200" s="42"/>
      <c r="K200" s="42"/>
      <c r="L200" s="42"/>
      <c r="M200" s="42"/>
      <c r="N200" s="42"/>
      <c r="O200" s="42"/>
      <c r="P200" s="42"/>
      <c r="Q200" s="42"/>
      <c r="R200" s="42"/>
      <c r="S200" s="42"/>
      <c r="T200" s="42"/>
      <c r="U200" s="42"/>
      <c r="V200" s="42"/>
      <c r="W200" s="42"/>
      <c r="X200" s="42"/>
      <c r="Y200" s="42"/>
      <c r="Z200" s="42"/>
      <c r="AA200" s="42"/>
      <c r="AB200" s="42"/>
      <c r="AC200" s="42"/>
      <c r="AD200" s="42"/>
      <c r="AE200" s="42"/>
      <c r="AF200" s="42"/>
      <c r="AG200" s="42"/>
      <c r="AH200" s="42"/>
    </row>
    <row r="201" spans="1:34" x14ac:dyDescent="0.25">
      <c r="A201" s="42"/>
      <c r="B201" s="42"/>
      <c r="C201" s="42"/>
      <c r="D201" s="42"/>
      <c r="E201" s="42"/>
      <c r="F201" s="42"/>
      <c r="G201" s="42"/>
      <c r="H201" s="42"/>
      <c r="I201" s="42"/>
      <c r="J201" s="42"/>
      <c r="K201" s="42"/>
      <c r="L201" s="42"/>
      <c r="M201" s="42"/>
      <c r="N201" s="42"/>
      <c r="O201" s="42"/>
      <c r="P201" s="42"/>
      <c r="Q201" s="42"/>
      <c r="R201" s="42"/>
      <c r="S201" s="42"/>
      <c r="T201" s="42"/>
      <c r="U201" s="42"/>
      <c r="V201" s="42"/>
      <c r="W201" s="42"/>
      <c r="X201" s="42"/>
      <c r="Y201" s="42"/>
      <c r="Z201" s="42"/>
      <c r="AA201" s="42"/>
      <c r="AB201" s="42"/>
      <c r="AC201" s="42"/>
      <c r="AD201" s="42"/>
      <c r="AE201" s="42"/>
      <c r="AF201" s="42"/>
      <c r="AG201" s="42"/>
      <c r="AH201" s="42"/>
    </row>
    <row r="202" spans="1:34" x14ac:dyDescent="0.25">
      <c r="A202" s="42"/>
      <c r="B202" s="42"/>
      <c r="C202" s="42"/>
      <c r="D202" s="42"/>
      <c r="E202" s="42"/>
      <c r="F202" s="42"/>
      <c r="G202" s="42"/>
      <c r="H202" s="42"/>
      <c r="I202" s="42"/>
      <c r="J202" s="42"/>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row>
    <row r="203" spans="1:34" x14ac:dyDescent="0.25">
      <c r="A203" s="42"/>
      <c r="B203" s="42"/>
      <c r="C203" s="42"/>
      <c r="D203" s="42"/>
      <c r="E203" s="42"/>
      <c r="F203" s="42"/>
      <c r="G203" s="42"/>
      <c r="H203" s="42"/>
      <c r="I203" s="42"/>
      <c r="J203" s="42"/>
      <c r="K203" s="42"/>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row>
    <row r="204" spans="1:34" x14ac:dyDescent="0.25">
      <c r="A204" s="42"/>
      <c r="B204" s="42"/>
      <c r="C204" s="42"/>
      <c r="D204" s="42"/>
      <c r="E204" s="42"/>
      <c r="F204" s="42"/>
      <c r="G204" s="42"/>
      <c r="H204" s="42"/>
      <c r="I204" s="42"/>
      <c r="J204" s="42"/>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row>
    <row r="205" spans="1:34" x14ac:dyDescent="0.25">
      <c r="A205" s="42"/>
      <c r="B205" s="42"/>
      <c r="C205" s="42"/>
      <c r="D205" s="42"/>
      <c r="E205" s="42"/>
      <c r="F205" s="42"/>
      <c r="G205" s="42"/>
      <c r="H205" s="42"/>
      <c r="I205" s="42"/>
      <c r="J205" s="42"/>
      <c r="K205" s="42"/>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row>
    <row r="206" spans="1:34" x14ac:dyDescent="0.25">
      <c r="A206" s="42"/>
      <c r="B206" s="42"/>
      <c r="C206" s="42"/>
      <c r="D206" s="42"/>
      <c r="E206" s="42"/>
      <c r="F206" s="42"/>
      <c r="G206" s="42"/>
      <c r="H206" s="42"/>
      <c r="I206" s="42"/>
      <c r="J206" s="42"/>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row>
    <row r="207" spans="1:34" x14ac:dyDescent="0.25">
      <c r="A207" s="68"/>
      <c r="B207" s="69"/>
      <c r="C207" s="69"/>
      <c r="D207" s="69"/>
      <c r="E207" s="69"/>
      <c r="F207" s="69"/>
      <c r="G207" s="69"/>
      <c r="H207" s="69"/>
      <c r="I207" s="69"/>
      <c r="J207" s="69"/>
      <c r="K207" s="69"/>
      <c r="L207" s="69"/>
      <c r="M207" s="69"/>
      <c r="N207" s="69"/>
      <c r="O207" s="69"/>
      <c r="P207" s="69"/>
      <c r="Q207" s="69"/>
      <c r="R207" s="69"/>
      <c r="S207" s="69"/>
      <c r="T207" s="69"/>
      <c r="U207" s="69"/>
      <c r="V207" s="69"/>
      <c r="W207" s="69"/>
      <c r="X207" s="69"/>
      <c r="Y207" s="69"/>
      <c r="Z207" s="69"/>
      <c r="AA207" s="69"/>
      <c r="AB207" s="69"/>
      <c r="AC207" s="70"/>
    </row>
    <row r="208" spans="1:34" x14ac:dyDescent="0.25">
      <c r="A208" s="71"/>
      <c r="B208" s="3"/>
      <c r="C208" s="3" t="s">
        <v>429</v>
      </c>
      <c r="D208" s="3"/>
      <c r="E208" s="3"/>
      <c r="F208" s="3"/>
      <c r="G208" s="3" t="str">
        <f>+C57</f>
        <v>Year of Deposit or Withdraw</v>
      </c>
      <c r="H208" s="191">
        <f t="shared" ref="H208:AA208" si="47">+H57</f>
        <v>1</v>
      </c>
      <c r="I208" s="191">
        <f t="shared" si="47"/>
        <v>2</v>
      </c>
      <c r="J208" s="191">
        <f t="shared" si="47"/>
        <v>3</v>
      </c>
      <c r="K208" s="191">
        <f t="shared" si="47"/>
        <v>4</v>
      </c>
      <c r="L208" s="191">
        <f t="shared" si="47"/>
        <v>5</v>
      </c>
      <c r="M208" s="191">
        <f t="shared" si="47"/>
        <v>6</v>
      </c>
      <c r="N208" s="191">
        <f t="shared" si="47"/>
        <v>7</v>
      </c>
      <c r="O208" s="191">
        <f t="shared" si="47"/>
        <v>8</v>
      </c>
      <c r="P208" s="191">
        <f t="shared" si="47"/>
        <v>9</v>
      </c>
      <c r="Q208" s="191">
        <f t="shared" si="47"/>
        <v>10</v>
      </c>
      <c r="R208" s="191">
        <f t="shared" si="47"/>
        <v>11</v>
      </c>
      <c r="S208" s="191">
        <f t="shared" si="47"/>
        <v>12</v>
      </c>
      <c r="T208" s="191">
        <f t="shared" si="47"/>
        <v>13</v>
      </c>
      <c r="U208" s="191">
        <f t="shared" si="47"/>
        <v>14</v>
      </c>
      <c r="V208" s="191">
        <f t="shared" si="47"/>
        <v>15</v>
      </c>
      <c r="W208" s="191">
        <f t="shared" si="47"/>
        <v>16</v>
      </c>
      <c r="X208" s="191">
        <f t="shared" si="47"/>
        <v>17</v>
      </c>
      <c r="Y208" s="191">
        <f t="shared" si="47"/>
        <v>18</v>
      </c>
      <c r="Z208" s="191">
        <f t="shared" si="47"/>
        <v>19</v>
      </c>
      <c r="AA208" s="191">
        <f t="shared" si="47"/>
        <v>20</v>
      </c>
      <c r="AB208" s="3"/>
      <c r="AC208" s="73"/>
    </row>
    <row r="209" spans="1:29" x14ac:dyDescent="0.25">
      <c r="A209" s="71"/>
      <c r="B209" s="3"/>
      <c r="C209" s="3" t="s">
        <v>429</v>
      </c>
      <c r="D209" s="3"/>
      <c r="E209" s="3"/>
      <c r="F209" s="3"/>
      <c r="G209" s="3" t="str">
        <f>+C62</f>
        <v>Interest Income on RfR balance</v>
      </c>
      <c r="H209" s="74">
        <f t="shared" ref="H209:AA209" ca="1" si="48">+H62</f>
        <v>2000</v>
      </c>
      <c r="I209" s="74">
        <f t="shared" ca="1" si="48"/>
        <v>2218</v>
      </c>
      <c r="J209" s="74">
        <f t="shared" ca="1" si="48"/>
        <v>3453.48</v>
      </c>
      <c r="K209" s="74">
        <f t="shared" ca="1" si="48"/>
        <v>2660.8109999999997</v>
      </c>
      <c r="L209" s="74">
        <f t="shared" ca="1" si="48"/>
        <v>2283.2719409999995</v>
      </c>
      <c r="M209" s="74">
        <f t="shared" ca="1" si="48"/>
        <v>1865.5883716349995</v>
      </c>
      <c r="N209" s="74">
        <f t="shared" ca="1" si="48"/>
        <v>1488.8541957599246</v>
      </c>
      <c r="O209" s="74">
        <f t="shared" ca="1" si="48"/>
        <v>1540.1672472177313</v>
      </c>
      <c r="P209" s="74">
        <f t="shared" ca="1" si="48"/>
        <v>1241.0243992178334</v>
      </c>
      <c r="Q209" s="74">
        <f t="shared" ca="1" si="48"/>
        <v>1153.9476013637739</v>
      </c>
      <c r="R209" s="74">
        <f t="shared" ca="1" si="48"/>
        <v>1072.5243082650568</v>
      </c>
      <c r="S209" s="74">
        <f t="shared" ca="1" si="48"/>
        <v>0</v>
      </c>
      <c r="T209" s="74">
        <f t="shared" ca="1" si="48"/>
        <v>0</v>
      </c>
      <c r="U209" s="74">
        <f t="shared" ca="1" si="48"/>
        <v>0</v>
      </c>
      <c r="V209" s="74">
        <f t="shared" ca="1" si="48"/>
        <v>0</v>
      </c>
      <c r="W209" s="74">
        <f t="shared" ca="1" si="48"/>
        <v>0</v>
      </c>
      <c r="X209" s="74">
        <f t="shared" ca="1" si="48"/>
        <v>0</v>
      </c>
      <c r="Y209" s="74">
        <f t="shared" ca="1" si="48"/>
        <v>0</v>
      </c>
      <c r="Z209" s="74">
        <f t="shared" ca="1" si="48"/>
        <v>0</v>
      </c>
      <c r="AA209" s="74">
        <f t="shared" ca="1" si="48"/>
        <v>0</v>
      </c>
      <c r="AB209" s="3"/>
      <c r="AC209" s="73"/>
    </row>
    <row r="210" spans="1:29" x14ac:dyDescent="0.25">
      <c r="A210" s="71"/>
      <c r="B210" s="3"/>
      <c r="C210" s="3" t="s">
        <v>429</v>
      </c>
      <c r="D210" s="3"/>
      <c r="E210" s="3"/>
      <c r="F210" s="3"/>
      <c r="G210" s="3" t="str">
        <f>+C65</f>
        <v>Base Annual RfR Deposit</v>
      </c>
      <c r="H210" s="74">
        <f t="shared" ref="H210:AA210" si="49">+H65</f>
        <v>19800</v>
      </c>
      <c r="I210" s="74">
        <f t="shared" si="49"/>
        <v>19800</v>
      </c>
      <c r="J210" s="74">
        <f t="shared" si="49"/>
        <v>19800</v>
      </c>
      <c r="K210" s="74">
        <f t="shared" si="49"/>
        <v>19800</v>
      </c>
      <c r="L210" s="74">
        <f t="shared" si="49"/>
        <v>19800</v>
      </c>
      <c r="M210" s="74">
        <f t="shared" si="49"/>
        <v>19800</v>
      </c>
      <c r="N210" s="74">
        <f t="shared" si="49"/>
        <v>19800</v>
      </c>
      <c r="O210" s="74">
        <f t="shared" si="49"/>
        <v>19800</v>
      </c>
      <c r="P210" s="74">
        <f t="shared" si="49"/>
        <v>19800</v>
      </c>
      <c r="Q210" s="74">
        <f t="shared" si="49"/>
        <v>19800</v>
      </c>
      <c r="R210" s="74">
        <f t="shared" si="49"/>
        <v>19800</v>
      </c>
      <c r="S210" s="74">
        <f t="shared" si="49"/>
        <v>19800</v>
      </c>
      <c r="T210" s="74">
        <f t="shared" si="49"/>
        <v>19800</v>
      </c>
      <c r="U210" s="74">
        <f t="shared" si="49"/>
        <v>19800</v>
      </c>
      <c r="V210" s="74">
        <f t="shared" si="49"/>
        <v>19800</v>
      </c>
      <c r="W210" s="74">
        <f t="shared" si="49"/>
        <v>19800</v>
      </c>
      <c r="X210" s="74">
        <f t="shared" si="49"/>
        <v>19800</v>
      </c>
      <c r="Y210" s="74">
        <f t="shared" si="49"/>
        <v>19800</v>
      </c>
      <c r="Z210" s="74">
        <f t="shared" si="49"/>
        <v>19800</v>
      </c>
      <c r="AA210" s="74">
        <f t="shared" si="49"/>
        <v>19800</v>
      </c>
      <c r="AB210" s="3"/>
      <c r="AC210" s="73"/>
    </row>
    <row r="211" spans="1:29" x14ac:dyDescent="0.25">
      <c r="A211" s="71"/>
      <c r="B211" s="3"/>
      <c r="C211" s="3" t="s">
        <v>429</v>
      </c>
      <c r="D211" s="3"/>
      <c r="E211" s="3"/>
      <c r="F211" s="3"/>
      <c r="G211" s="3" t="str">
        <f>+C68</f>
        <v>Inflationary Increase in Annual Deposit</v>
      </c>
      <c r="H211" s="74">
        <f t="shared" ref="H211:AA211" si="50">+H68</f>
        <v>0</v>
      </c>
      <c r="I211" s="74">
        <f t="shared" si="50"/>
        <v>396.00000000000034</v>
      </c>
      <c r="J211" s="74">
        <f t="shared" si="50"/>
        <v>799.91999999999985</v>
      </c>
      <c r="K211" s="74">
        <f t="shared" si="50"/>
        <v>1211.9183999999987</v>
      </c>
      <c r="L211" s="74">
        <f t="shared" si="50"/>
        <v>1632.1567679999996</v>
      </c>
      <c r="M211" s="74">
        <f t="shared" si="50"/>
        <v>2060.7999033600004</v>
      </c>
      <c r="N211" s="74">
        <f t="shared" si="50"/>
        <v>2498.0159014272012</v>
      </c>
      <c r="O211" s="74">
        <f t="shared" si="50"/>
        <v>2943.9762194557447</v>
      </c>
      <c r="P211" s="74">
        <f t="shared" si="50"/>
        <v>3398.8557438448615</v>
      </c>
      <c r="Q211" s="74">
        <f t="shared" si="50"/>
        <v>3862.8328587217588</v>
      </c>
      <c r="R211" s="74">
        <f t="shared" si="50"/>
        <v>4336.0895158961948</v>
      </c>
      <c r="S211" s="74">
        <f t="shared" si="50"/>
        <v>4818.8113062141183</v>
      </c>
      <c r="T211" s="74">
        <f t="shared" si="50"/>
        <v>5311.1875323384011</v>
      </c>
      <c r="U211" s="74">
        <f t="shared" si="50"/>
        <v>5813.4112829851674</v>
      </c>
      <c r="V211" s="74">
        <f t="shared" si="50"/>
        <v>6325.6795086448728</v>
      </c>
      <c r="W211" s="74">
        <f t="shared" si="50"/>
        <v>6848.1930988177719</v>
      </c>
      <c r="X211" s="74">
        <f t="shared" si="50"/>
        <v>7381.1569607941274</v>
      </c>
      <c r="Y211" s="74">
        <f t="shared" si="50"/>
        <v>7924.7801000100117</v>
      </c>
      <c r="Z211" s="74">
        <f t="shared" si="50"/>
        <v>8479.2757020102126</v>
      </c>
      <c r="AA211" s="74">
        <f t="shared" si="50"/>
        <v>9044.8612160504163</v>
      </c>
      <c r="AB211" s="3"/>
      <c r="AC211" s="73"/>
    </row>
    <row r="212" spans="1:29" x14ac:dyDescent="0.25">
      <c r="A212" s="71"/>
      <c r="B212" s="3"/>
      <c r="C212" s="3" t="s">
        <v>429</v>
      </c>
      <c r="D212" s="3"/>
      <c r="E212" s="3"/>
      <c r="F212" s="3"/>
      <c r="G212" s="3" t="str">
        <f>+C83</f>
        <v>Note: Highest Annual Withdrawal to equalize Sources and Needs graphs scales</v>
      </c>
      <c r="H212" s="74">
        <f t="shared" ref="H212:AB212" si="51">+H83</f>
        <v>0</v>
      </c>
      <c r="I212" s="74">
        <f t="shared" si="51"/>
        <v>0</v>
      </c>
      <c r="J212" s="74">
        <f t="shared" si="51"/>
        <v>0</v>
      </c>
      <c r="K212" s="74">
        <f t="shared" si="51"/>
        <v>0</v>
      </c>
      <c r="L212" s="74">
        <f t="shared" si="51"/>
        <v>0</v>
      </c>
      <c r="M212" s="74">
        <f t="shared" si="51"/>
        <v>0</v>
      </c>
      <c r="N212" s="74">
        <f t="shared" si="51"/>
        <v>0</v>
      </c>
      <c r="O212" s="74">
        <f t="shared" si="51"/>
        <v>0</v>
      </c>
      <c r="P212" s="74">
        <f t="shared" si="51"/>
        <v>0</v>
      </c>
      <c r="Q212" s="74">
        <f t="shared" si="51"/>
        <v>0</v>
      </c>
      <c r="R212" s="74">
        <f t="shared" si="51"/>
        <v>0</v>
      </c>
      <c r="S212" s="74">
        <f t="shared" si="51"/>
        <v>0</v>
      </c>
      <c r="T212" s="74">
        <f t="shared" si="51"/>
        <v>0</v>
      </c>
      <c r="U212" s="74">
        <f t="shared" si="51"/>
        <v>0</v>
      </c>
      <c r="V212" s="74">
        <f t="shared" si="51"/>
        <v>0</v>
      </c>
      <c r="W212" s="74">
        <f t="shared" si="51"/>
        <v>0</v>
      </c>
      <c r="X212" s="74">
        <f t="shared" si="51"/>
        <v>0</v>
      </c>
      <c r="Y212" s="74">
        <f t="shared" si="51"/>
        <v>0</v>
      </c>
      <c r="Z212" s="74">
        <f t="shared" si="51"/>
        <v>0</v>
      </c>
      <c r="AA212" s="74">
        <f t="shared" si="51"/>
        <v>0</v>
      </c>
      <c r="AB212" s="74">
        <f t="shared" si="51"/>
        <v>296486</v>
      </c>
      <c r="AC212" s="73"/>
    </row>
    <row r="213" spans="1:29" ht="15.75" thickBot="1" x14ac:dyDescent="0.3">
      <c r="A213" s="71"/>
      <c r="B213" s="3"/>
      <c r="C213" s="3" t="s">
        <v>429</v>
      </c>
      <c r="D213" s="3"/>
      <c r="E213" s="3"/>
      <c r="F213" s="3"/>
      <c r="G213" s="3" t="s">
        <v>430</v>
      </c>
      <c r="H213" s="65">
        <f ca="1">+H209+H210+H211</f>
        <v>21800</v>
      </c>
      <c r="I213" s="65">
        <f t="shared" ref="I213:W213" ca="1" si="52">+I209+I210+I211</f>
        <v>22414</v>
      </c>
      <c r="J213" s="65">
        <f t="shared" ca="1" si="52"/>
        <v>24053.399999999998</v>
      </c>
      <c r="K213" s="65">
        <f t="shared" ca="1" si="52"/>
        <v>23672.7294</v>
      </c>
      <c r="L213" s="65">
        <f t="shared" ca="1" si="52"/>
        <v>23715.428709</v>
      </c>
      <c r="M213" s="65">
        <f t="shared" ca="1" si="52"/>
        <v>23726.388274994999</v>
      </c>
      <c r="N213" s="65">
        <f t="shared" ca="1" si="52"/>
        <v>23786.870097187122</v>
      </c>
      <c r="O213" s="65">
        <f t="shared" ca="1" si="52"/>
        <v>24284.143466673475</v>
      </c>
      <c r="P213" s="65">
        <f t="shared" ca="1" si="52"/>
        <v>24439.880143062695</v>
      </c>
      <c r="Q213" s="65">
        <f t="shared" ca="1" si="52"/>
        <v>24816.780460085531</v>
      </c>
      <c r="R213" s="65">
        <f t="shared" ca="1" si="52"/>
        <v>25208.61382416125</v>
      </c>
      <c r="S213" s="65">
        <f t="shared" ca="1" si="52"/>
        <v>24618.81130621412</v>
      </c>
      <c r="T213" s="65">
        <f t="shared" ca="1" si="52"/>
        <v>25111.187532338401</v>
      </c>
      <c r="U213" s="65">
        <f t="shared" ca="1" si="52"/>
        <v>25613.411282985166</v>
      </c>
      <c r="V213" s="65">
        <f t="shared" ca="1" si="52"/>
        <v>26125.679508644873</v>
      </c>
      <c r="W213" s="65">
        <f t="shared" ca="1" si="52"/>
        <v>26648.19309881777</v>
      </c>
      <c r="X213" s="65">
        <f t="shared" ref="X213:AA213" ca="1" si="53">+X209+X210+X211</f>
        <v>27181.156960794127</v>
      </c>
      <c r="Y213" s="65">
        <f t="shared" ca="1" si="53"/>
        <v>27724.780100010012</v>
      </c>
      <c r="Z213" s="65">
        <f t="shared" ca="1" si="53"/>
        <v>28279.275702010214</v>
      </c>
      <c r="AA213" s="65">
        <f t="shared" ca="1" si="53"/>
        <v>28844.861216050416</v>
      </c>
      <c r="AB213" s="3"/>
      <c r="AC213" s="73"/>
    </row>
    <row r="214" spans="1:29" ht="15.75" thickTop="1" x14ac:dyDescent="0.25">
      <c r="A214" s="71"/>
      <c r="B214" s="3"/>
      <c r="C214" s="3" t="s">
        <v>429</v>
      </c>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73"/>
    </row>
    <row r="215" spans="1:29" x14ac:dyDescent="0.25">
      <c r="A215" s="71"/>
      <c r="B215" s="3"/>
      <c r="C215" s="3" t="s">
        <v>429</v>
      </c>
      <c r="D215" s="3"/>
      <c r="E215" s="3"/>
      <c r="F215" s="3"/>
      <c r="G215" s="3" t="str">
        <f>+G208</f>
        <v>Year of Deposit or Withdraw</v>
      </c>
      <c r="H215" s="72">
        <f>+H208</f>
        <v>1</v>
      </c>
      <c r="I215" s="72">
        <f t="shared" ref="I215:W215" si="54">+I208</f>
        <v>2</v>
      </c>
      <c r="J215" s="72">
        <f t="shared" si="54"/>
        <v>3</v>
      </c>
      <c r="K215" s="72">
        <f t="shared" si="54"/>
        <v>4</v>
      </c>
      <c r="L215" s="72">
        <f t="shared" si="54"/>
        <v>5</v>
      </c>
      <c r="M215" s="72">
        <f t="shared" si="54"/>
        <v>6</v>
      </c>
      <c r="N215" s="72">
        <f t="shared" si="54"/>
        <v>7</v>
      </c>
      <c r="O215" s="72">
        <f t="shared" si="54"/>
        <v>8</v>
      </c>
      <c r="P215" s="72">
        <f t="shared" si="54"/>
        <v>9</v>
      </c>
      <c r="Q215" s="72">
        <f t="shared" si="54"/>
        <v>10</v>
      </c>
      <c r="R215" s="72">
        <f t="shared" si="54"/>
        <v>11</v>
      </c>
      <c r="S215" s="72">
        <f t="shared" si="54"/>
        <v>12</v>
      </c>
      <c r="T215" s="72">
        <f t="shared" si="54"/>
        <v>13</v>
      </c>
      <c r="U215" s="72">
        <f t="shared" si="54"/>
        <v>14</v>
      </c>
      <c r="V215" s="72">
        <f t="shared" si="54"/>
        <v>15</v>
      </c>
      <c r="W215" s="72">
        <f t="shared" si="54"/>
        <v>16</v>
      </c>
      <c r="X215" s="72">
        <f t="shared" ref="X215:AA215" si="55">+X208</f>
        <v>17</v>
      </c>
      <c r="Y215" s="72">
        <f t="shared" si="55"/>
        <v>18</v>
      </c>
      <c r="Z215" s="72">
        <f t="shared" si="55"/>
        <v>19</v>
      </c>
      <c r="AA215" s="72">
        <f t="shared" si="55"/>
        <v>20</v>
      </c>
      <c r="AB215" s="3"/>
      <c r="AC215" s="73"/>
    </row>
    <row r="216" spans="1:29" x14ac:dyDescent="0.25">
      <c r="A216" s="71"/>
      <c r="B216" s="3"/>
      <c r="C216" s="3" t="s">
        <v>429</v>
      </c>
      <c r="D216" s="3"/>
      <c r="E216" s="3"/>
      <c r="F216" s="3"/>
      <c r="G216" s="3" t="str">
        <f>+C73</f>
        <v>Duration Adjusted Uninflated Needs</v>
      </c>
      <c r="H216" s="75">
        <f t="shared" ref="H216:AA216" si="56">+H73</f>
        <v>0</v>
      </c>
      <c r="I216" s="75">
        <f t="shared" ca="1" si="56"/>
        <v>-13707.843137254902</v>
      </c>
      <c r="J216" s="75">
        <f t="shared" ca="1" si="56"/>
        <v>-73911.956939638607</v>
      </c>
      <c r="K216" s="75">
        <f t="shared" ca="1" si="56"/>
        <v>-46024.907463946751</v>
      </c>
      <c r="L216" s="75">
        <f t="shared" ca="1" si="56"/>
        <v>-47634.394011353099</v>
      </c>
      <c r="M216" s="75">
        <f t="shared" ca="1" si="56"/>
        <v>-44237.704213712757</v>
      </c>
      <c r="N216" s="75">
        <f t="shared" ca="1" si="56"/>
        <v>-18084.425169603986</v>
      </c>
      <c r="O216" s="75">
        <f t="shared" ca="1" si="56"/>
        <v>-38502.265019557562</v>
      </c>
      <c r="P216" s="75">
        <f t="shared" ca="1" si="56"/>
        <v>-25813.81627664492</v>
      </c>
      <c r="Q216" s="75">
        <f t="shared" ca="1" si="56"/>
        <v>-25307.663016318547</v>
      </c>
      <c r="R216" s="75">
        <f t="shared" ca="1" si="56"/>
        <v>-109674.82525520911</v>
      </c>
      <c r="S216" s="75">
        <f t="shared" ca="1" si="56"/>
        <v>-103489.3508183681</v>
      </c>
      <c r="T216" s="75">
        <f t="shared" ca="1" si="56"/>
        <v>-44082.287967243654</v>
      </c>
      <c r="U216" s="75">
        <f t="shared" ca="1" si="56"/>
        <v>-53928.295014634808</v>
      </c>
      <c r="V216" s="75">
        <f t="shared" ca="1" si="56"/>
        <v>-89451.989152155787</v>
      </c>
      <c r="W216" s="75">
        <f t="shared" ca="1" si="56"/>
        <v>-10294.469083990929</v>
      </c>
      <c r="X216" s="75">
        <f t="shared" ca="1" si="56"/>
        <v>0</v>
      </c>
      <c r="Y216" s="75">
        <f t="shared" ca="1" si="56"/>
        <v>-31298.888462588264</v>
      </c>
      <c r="Z216" s="75">
        <f t="shared" ca="1" si="56"/>
        <v>-25814.175995607555</v>
      </c>
      <c r="AA216" s="75">
        <f t="shared" ca="1" si="56"/>
        <v>-203517.11024123302</v>
      </c>
      <c r="AB216" s="3"/>
      <c r="AC216" s="73"/>
    </row>
    <row r="217" spans="1:29" x14ac:dyDescent="0.25">
      <c r="A217" s="71"/>
      <c r="B217" s="3"/>
      <c r="C217" s="3" t="s">
        <v>429</v>
      </c>
      <c r="D217" s="3"/>
      <c r="E217" s="3"/>
      <c r="F217" s="3"/>
      <c r="G217" s="3" t="str">
        <f>+C76</f>
        <v>Inflation in Needs Amount</v>
      </c>
      <c r="H217" s="75">
        <f t="shared" ref="H217:AA217" si="57">+H76</f>
        <v>0</v>
      </c>
      <c r="I217" s="75">
        <f t="shared" ca="1" si="57"/>
        <v>-274.15686274509829</v>
      </c>
      <c r="J217" s="75">
        <f t="shared" ca="1" si="57"/>
        <v>-2986.0430603613991</v>
      </c>
      <c r="K217" s="75">
        <f t="shared" ca="1" si="57"/>
        <v>-2817.0925360532497</v>
      </c>
      <c r="L217" s="75">
        <f t="shared" ca="1" si="57"/>
        <v>-3926.6059886468993</v>
      </c>
      <c r="M217" s="75">
        <f t="shared" ca="1" si="57"/>
        <v>-4604.295786287249</v>
      </c>
      <c r="N217" s="75">
        <f t="shared" ca="1" si="57"/>
        <v>-2281.5748303960136</v>
      </c>
      <c r="O217" s="75">
        <f t="shared" ca="1" si="57"/>
        <v>-5724.7349804424366</v>
      </c>
      <c r="P217" s="75">
        <f t="shared" ca="1" si="57"/>
        <v>-4431.1837233550796</v>
      </c>
      <c r="Q217" s="75">
        <f t="shared" ca="1" si="57"/>
        <v>-4937.33698368145</v>
      </c>
      <c r="R217" s="75">
        <f t="shared" ca="1" si="57"/>
        <v>-24018.174744790882</v>
      </c>
      <c r="S217" s="75">
        <f t="shared" ca="1" si="57"/>
        <v>-25186.649181631896</v>
      </c>
      <c r="T217" s="75">
        <f t="shared" ca="1" si="57"/>
        <v>-11824.712032756343</v>
      </c>
      <c r="U217" s="75">
        <f t="shared" ca="1" si="57"/>
        <v>-15833.704985365188</v>
      </c>
      <c r="V217" s="75">
        <f t="shared" ca="1" si="57"/>
        <v>-28578.010847844209</v>
      </c>
      <c r="W217" s="75">
        <f t="shared" ca="1" si="57"/>
        <v>-3560.5309160090701</v>
      </c>
      <c r="X217" s="75">
        <f t="shared" ca="1" si="57"/>
        <v>0</v>
      </c>
      <c r="Y217" s="75">
        <f t="shared" ca="1" si="57"/>
        <v>-12527.111537411738</v>
      </c>
      <c r="Z217" s="75">
        <f t="shared" ca="1" si="57"/>
        <v>-11054.824004392447</v>
      </c>
      <c r="AA217" s="75">
        <f t="shared" ca="1" si="57"/>
        <v>-92968.889758766949</v>
      </c>
      <c r="AB217" s="3"/>
      <c r="AC217" s="73"/>
    </row>
    <row r="218" spans="1:29" ht="15.75" thickBot="1" x14ac:dyDescent="0.3">
      <c r="A218" s="71"/>
      <c r="B218" s="3"/>
      <c r="C218" s="3" t="s">
        <v>429</v>
      </c>
      <c r="D218" s="3"/>
      <c r="E218" s="3"/>
      <c r="F218" s="3"/>
      <c r="G218" s="3" t="s">
        <v>431</v>
      </c>
      <c r="H218" s="66">
        <f>+H216+H217</f>
        <v>0</v>
      </c>
      <c r="I218" s="66">
        <f t="shared" ref="I218:W218" ca="1" si="58">+I216+I217</f>
        <v>-13982</v>
      </c>
      <c r="J218" s="66">
        <f t="shared" ca="1" si="58"/>
        <v>-76898</v>
      </c>
      <c r="K218" s="66">
        <f t="shared" ca="1" si="58"/>
        <v>-48842</v>
      </c>
      <c r="L218" s="66">
        <f t="shared" ca="1" si="58"/>
        <v>-51561</v>
      </c>
      <c r="M218" s="66">
        <f t="shared" ca="1" si="58"/>
        <v>-48842.000000000007</v>
      </c>
      <c r="N218" s="66">
        <f t="shared" ca="1" si="58"/>
        <v>-20366</v>
      </c>
      <c r="O218" s="66">
        <f t="shared" ca="1" si="58"/>
        <v>-44227</v>
      </c>
      <c r="P218" s="66">
        <f t="shared" ca="1" si="58"/>
        <v>-30245</v>
      </c>
      <c r="Q218" s="66">
        <f t="shared" ca="1" si="58"/>
        <v>-30244.999999999996</v>
      </c>
      <c r="R218" s="66">
        <f t="shared" ca="1" si="58"/>
        <v>-133693</v>
      </c>
      <c r="S218" s="66">
        <f t="shared" ca="1" si="58"/>
        <v>-128676</v>
      </c>
      <c r="T218" s="66">
        <f t="shared" ca="1" si="58"/>
        <v>-55907</v>
      </c>
      <c r="U218" s="66">
        <f t="shared" ca="1" si="58"/>
        <v>-69762</v>
      </c>
      <c r="V218" s="66">
        <f t="shared" ca="1" si="58"/>
        <v>-118030</v>
      </c>
      <c r="W218" s="66">
        <f t="shared" ca="1" si="58"/>
        <v>-13855</v>
      </c>
      <c r="X218" s="66">
        <f t="shared" ref="X218:AA218" ca="1" si="59">+X216+X217</f>
        <v>0</v>
      </c>
      <c r="Y218" s="66">
        <f t="shared" ca="1" si="59"/>
        <v>-43826</v>
      </c>
      <c r="Z218" s="66">
        <f t="shared" ca="1" si="59"/>
        <v>-36869</v>
      </c>
      <c r="AA218" s="66">
        <f t="shared" ca="1" si="59"/>
        <v>-296486</v>
      </c>
      <c r="AB218" s="3"/>
      <c r="AC218" s="73"/>
    </row>
    <row r="219" spans="1:29" ht="15.75" thickTop="1" x14ac:dyDescent="0.25">
      <c r="A219" s="71"/>
      <c r="B219" s="3"/>
      <c r="C219" s="3" t="s">
        <v>429</v>
      </c>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73"/>
    </row>
    <row r="220" spans="1:29" x14ac:dyDescent="0.25">
      <c r="A220" s="71"/>
      <c r="B220" s="3"/>
      <c r="C220" s="3" t="s">
        <v>429</v>
      </c>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73"/>
    </row>
    <row r="221" spans="1:29" x14ac:dyDescent="0.25">
      <c r="A221" s="71"/>
      <c r="B221" s="3"/>
      <c r="C221" s="3" t="s">
        <v>429</v>
      </c>
      <c r="D221" s="3"/>
      <c r="E221" s="3"/>
      <c r="F221" s="3"/>
      <c r="G221" s="3" t="str">
        <f>+G208</f>
        <v>Year of Deposit or Withdraw</v>
      </c>
      <c r="H221" s="72">
        <f>+H208</f>
        <v>1</v>
      </c>
      <c r="I221" s="72">
        <f t="shared" ref="I221:W221" si="60">+I208</f>
        <v>2</v>
      </c>
      <c r="J221" s="72">
        <f t="shared" si="60"/>
        <v>3</v>
      </c>
      <c r="K221" s="72">
        <f t="shared" si="60"/>
        <v>4</v>
      </c>
      <c r="L221" s="72">
        <f t="shared" si="60"/>
        <v>5</v>
      </c>
      <c r="M221" s="72">
        <f t="shared" si="60"/>
        <v>6</v>
      </c>
      <c r="N221" s="72">
        <f t="shared" si="60"/>
        <v>7</v>
      </c>
      <c r="O221" s="72">
        <f t="shared" si="60"/>
        <v>8</v>
      </c>
      <c r="P221" s="72">
        <f t="shared" si="60"/>
        <v>9</v>
      </c>
      <c r="Q221" s="72">
        <f t="shared" si="60"/>
        <v>10</v>
      </c>
      <c r="R221" s="72">
        <f t="shared" si="60"/>
        <v>11</v>
      </c>
      <c r="S221" s="72">
        <f t="shared" si="60"/>
        <v>12</v>
      </c>
      <c r="T221" s="72">
        <f t="shared" si="60"/>
        <v>13</v>
      </c>
      <c r="U221" s="72">
        <f t="shared" si="60"/>
        <v>14</v>
      </c>
      <c r="V221" s="72">
        <f t="shared" si="60"/>
        <v>15</v>
      </c>
      <c r="W221" s="72">
        <f t="shared" si="60"/>
        <v>16</v>
      </c>
      <c r="X221" s="72">
        <f t="shared" ref="X221:AA221" si="61">+X208</f>
        <v>17</v>
      </c>
      <c r="Y221" s="72">
        <f t="shared" si="61"/>
        <v>18</v>
      </c>
      <c r="Z221" s="72">
        <f t="shared" si="61"/>
        <v>19</v>
      </c>
      <c r="AA221" s="72">
        <f t="shared" si="61"/>
        <v>20</v>
      </c>
      <c r="AB221" s="3"/>
      <c r="AC221" s="73"/>
    </row>
    <row r="222" spans="1:29" ht="15.75" thickBot="1" x14ac:dyDescent="0.3">
      <c r="A222" s="71"/>
      <c r="B222" s="3"/>
      <c r="C222" s="3" t="s">
        <v>429</v>
      </c>
      <c r="D222" s="3"/>
      <c r="E222" s="3"/>
      <c r="F222" s="3"/>
      <c r="G222" s="3" t="s">
        <v>432</v>
      </c>
      <c r="H222" s="268">
        <f ca="1">+H213+H218</f>
        <v>21800</v>
      </c>
      <c r="I222" s="268">
        <f t="shared" ref="I222:AA222" ca="1" si="62">+I213+I218</f>
        <v>8432</v>
      </c>
      <c r="J222" s="268">
        <f t="shared" ca="1" si="62"/>
        <v>-52844.600000000006</v>
      </c>
      <c r="K222" s="268">
        <f t="shared" ca="1" si="62"/>
        <v>-25169.2706</v>
      </c>
      <c r="L222" s="268">
        <f t="shared" ca="1" si="62"/>
        <v>-27845.571291</v>
      </c>
      <c r="M222" s="268">
        <f t="shared" ca="1" si="62"/>
        <v>-25115.611725005008</v>
      </c>
      <c r="N222" s="268">
        <f t="shared" ca="1" si="62"/>
        <v>3420.8700971871222</v>
      </c>
      <c r="O222" s="268">
        <f t="shared" ca="1" si="62"/>
        <v>-19942.856533326525</v>
      </c>
      <c r="P222" s="268">
        <f t="shared" ca="1" si="62"/>
        <v>-5805.1198569373046</v>
      </c>
      <c r="Q222" s="268">
        <f t="shared" ca="1" si="62"/>
        <v>-5428.2195399144657</v>
      </c>
      <c r="R222" s="268">
        <f t="shared" ca="1" si="62"/>
        <v>-108484.38617583875</v>
      </c>
      <c r="S222" s="268">
        <f t="shared" ca="1" si="62"/>
        <v>-104057.18869378588</v>
      </c>
      <c r="T222" s="268">
        <f t="shared" ca="1" si="62"/>
        <v>-30795.812467661599</v>
      </c>
      <c r="U222" s="268">
        <f t="shared" ca="1" si="62"/>
        <v>-44148.588717014834</v>
      </c>
      <c r="V222" s="268">
        <f t="shared" ca="1" si="62"/>
        <v>-91904.320491355131</v>
      </c>
      <c r="W222" s="268">
        <f t="shared" ca="1" si="62"/>
        <v>12793.19309881777</v>
      </c>
      <c r="X222" s="268">
        <f t="shared" ca="1" si="62"/>
        <v>27181.156960794127</v>
      </c>
      <c r="Y222" s="268">
        <f t="shared" ca="1" si="62"/>
        <v>-16101.219899989988</v>
      </c>
      <c r="Z222" s="268">
        <f t="shared" ca="1" si="62"/>
        <v>-8589.7242979897856</v>
      </c>
      <c r="AA222" s="268">
        <f t="shared" ca="1" si="62"/>
        <v>-267641.1387839496</v>
      </c>
      <c r="AB222" s="3"/>
      <c r="AC222" s="73"/>
    </row>
    <row r="223" spans="1:29" ht="15.75" thickTop="1" x14ac:dyDescent="0.25">
      <c r="A223" s="71"/>
      <c r="B223" s="3"/>
      <c r="C223" s="3" t="s">
        <v>429</v>
      </c>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73"/>
    </row>
    <row r="224" spans="1:29" x14ac:dyDescent="0.25">
      <c r="A224" s="71"/>
      <c r="B224" s="3"/>
      <c r="C224" s="3" t="s">
        <v>429</v>
      </c>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73"/>
    </row>
    <row r="225" spans="1:29" x14ac:dyDescent="0.25">
      <c r="A225" s="71"/>
      <c r="B225" s="3"/>
      <c r="C225" s="3" t="s">
        <v>429</v>
      </c>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73"/>
    </row>
    <row r="226" spans="1:29" x14ac:dyDescent="0.25">
      <c r="A226" s="71"/>
      <c r="B226" s="3"/>
      <c r="C226" s="3" t="s">
        <v>429</v>
      </c>
      <c r="D226" s="3"/>
      <c r="E226" s="3"/>
      <c r="F226" s="3"/>
      <c r="G226" s="3" t="str">
        <f>+C57</f>
        <v>Year of Deposit or Withdraw</v>
      </c>
      <c r="H226" s="72">
        <f t="shared" ref="H226:AA226" si="63">+H57</f>
        <v>1</v>
      </c>
      <c r="I226" s="72">
        <f t="shared" si="63"/>
        <v>2</v>
      </c>
      <c r="J226" s="72">
        <f t="shared" si="63"/>
        <v>3</v>
      </c>
      <c r="K226" s="72">
        <f t="shared" si="63"/>
        <v>4</v>
      </c>
      <c r="L226" s="72">
        <f t="shared" si="63"/>
        <v>5</v>
      </c>
      <c r="M226" s="72">
        <f t="shared" si="63"/>
        <v>6</v>
      </c>
      <c r="N226" s="72">
        <f t="shared" si="63"/>
        <v>7</v>
      </c>
      <c r="O226" s="72">
        <f t="shared" si="63"/>
        <v>8</v>
      </c>
      <c r="P226" s="72">
        <f t="shared" si="63"/>
        <v>9</v>
      </c>
      <c r="Q226" s="72">
        <f t="shared" si="63"/>
        <v>10</v>
      </c>
      <c r="R226" s="72">
        <f t="shared" si="63"/>
        <v>11</v>
      </c>
      <c r="S226" s="72">
        <f t="shared" si="63"/>
        <v>12</v>
      </c>
      <c r="T226" s="72">
        <f t="shared" si="63"/>
        <v>13</v>
      </c>
      <c r="U226" s="72">
        <f t="shared" si="63"/>
        <v>14</v>
      </c>
      <c r="V226" s="72">
        <f t="shared" si="63"/>
        <v>15</v>
      </c>
      <c r="W226" s="72">
        <f t="shared" si="63"/>
        <v>16</v>
      </c>
      <c r="X226" s="72">
        <f t="shared" si="63"/>
        <v>17</v>
      </c>
      <c r="Y226" s="72">
        <f t="shared" si="63"/>
        <v>18</v>
      </c>
      <c r="Z226" s="72">
        <f t="shared" si="63"/>
        <v>19</v>
      </c>
      <c r="AA226" s="72">
        <f t="shared" si="63"/>
        <v>20</v>
      </c>
      <c r="AB226" s="3"/>
      <c r="AC226" s="73"/>
    </row>
    <row r="227" spans="1:29" x14ac:dyDescent="0.25">
      <c r="A227" s="71"/>
      <c r="B227" s="3"/>
      <c r="C227" s="3" t="s">
        <v>429</v>
      </c>
      <c r="D227" s="3"/>
      <c r="E227" s="3"/>
      <c r="F227" s="3"/>
      <c r="G227" s="3" t="str">
        <f>+C59</f>
        <v>Initial Deposit</v>
      </c>
      <c r="H227" s="37">
        <f>+H59</f>
        <v>200000</v>
      </c>
      <c r="I227" s="37">
        <f t="shared" ref="I227:AA227" si="64">+H227+I59</f>
        <v>200000</v>
      </c>
      <c r="J227" s="37">
        <f t="shared" si="64"/>
        <v>200000</v>
      </c>
      <c r="K227" s="37">
        <f t="shared" si="64"/>
        <v>200000</v>
      </c>
      <c r="L227" s="37">
        <f t="shared" si="64"/>
        <v>200000</v>
      </c>
      <c r="M227" s="37">
        <f t="shared" si="64"/>
        <v>200000</v>
      </c>
      <c r="N227" s="37">
        <f t="shared" si="64"/>
        <v>200000</v>
      </c>
      <c r="O227" s="37">
        <f t="shared" si="64"/>
        <v>200000</v>
      </c>
      <c r="P227" s="37">
        <f t="shared" si="64"/>
        <v>200000</v>
      </c>
      <c r="Q227" s="37">
        <f t="shared" si="64"/>
        <v>200000</v>
      </c>
      <c r="R227" s="37">
        <f>+Q227+R59</f>
        <v>200000</v>
      </c>
      <c r="S227" s="37">
        <f t="shared" si="64"/>
        <v>200000</v>
      </c>
      <c r="T227" s="37">
        <f t="shared" si="64"/>
        <v>200000</v>
      </c>
      <c r="U227" s="37">
        <f t="shared" si="64"/>
        <v>200000</v>
      </c>
      <c r="V227" s="37">
        <f t="shared" si="64"/>
        <v>200000</v>
      </c>
      <c r="W227" s="37">
        <f t="shared" si="64"/>
        <v>200000</v>
      </c>
      <c r="X227" s="37">
        <f t="shared" si="64"/>
        <v>200000</v>
      </c>
      <c r="Y227" s="37">
        <f t="shared" si="64"/>
        <v>200000</v>
      </c>
      <c r="Z227" s="37">
        <f t="shared" si="64"/>
        <v>200000</v>
      </c>
      <c r="AA227" s="37">
        <f t="shared" si="64"/>
        <v>200000</v>
      </c>
      <c r="AB227" s="3"/>
      <c r="AC227" s="73"/>
    </row>
    <row r="228" spans="1:29" x14ac:dyDescent="0.25">
      <c r="A228" s="71"/>
      <c r="B228" s="3"/>
      <c r="C228" s="3" t="s">
        <v>429</v>
      </c>
      <c r="D228" s="3"/>
      <c r="E228" s="3"/>
      <c r="F228" s="3"/>
      <c r="G228" s="3" t="str">
        <f>+C62</f>
        <v>Interest Income on RfR balance</v>
      </c>
      <c r="H228" s="37">
        <f ca="1">+H62</f>
        <v>2000</v>
      </c>
      <c r="I228" s="37">
        <f t="shared" ref="I228:AA228" ca="1" si="65">+H228+I62</f>
        <v>4218</v>
      </c>
      <c r="J228" s="37">
        <f t="shared" ca="1" si="65"/>
        <v>7671.48</v>
      </c>
      <c r="K228" s="37">
        <f t="shared" ca="1" si="65"/>
        <v>10332.290999999999</v>
      </c>
      <c r="L228" s="37">
        <f t="shared" ca="1" si="65"/>
        <v>12615.562940999998</v>
      </c>
      <c r="M228" s="37">
        <f t="shared" ca="1" si="65"/>
        <v>14481.151312634998</v>
      </c>
      <c r="N228" s="37">
        <f t="shared" ca="1" si="65"/>
        <v>15970.005508394923</v>
      </c>
      <c r="O228" s="37">
        <f t="shared" ca="1" si="65"/>
        <v>17510.172755612653</v>
      </c>
      <c r="P228" s="37">
        <f t="shared" ca="1" si="65"/>
        <v>18751.197154830486</v>
      </c>
      <c r="Q228" s="37">
        <f t="shared" ca="1" si="65"/>
        <v>19905.144756194259</v>
      </c>
      <c r="R228" s="37">
        <f t="shared" ca="1" si="65"/>
        <v>20977.669064459315</v>
      </c>
      <c r="S228" s="37">
        <f t="shared" ca="1" si="65"/>
        <v>20977.669064459315</v>
      </c>
      <c r="T228" s="37">
        <f t="shared" ca="1" si="65"/>
        <v>20977.669064459315</v>
      </c>
      <c r="U228" s="37">
        <f t="shared" ca="1" si="65"/>
        <v>20977.669064459315</v>
      </c>
      <c r="V228" s="37">
        <f t="shared" ca="1" si="65"/>
        <v>20977.669064459315</v>
      </c>
      <c r="W228" s="37">
        <f t="shared" ca="1" si="65"/>
        <v>20977.669064459315</v>
      </c>
      <c r="X228" s="37">
        <f t="shared" ca="1" si="65"/>
        <v>20977.669064459315</v>
      </c>
      <c r="Y228" s="37">
        <f t="shared" ca="1" si="65"/>
        <v>20977.669064459315</v>
      </c>
      <c r="Z228" s="37">
        <f t="shared" ca="1" si="65"/>
        <v>20977.669064459315</v>
      </c>
      <c r="AA228" s="37">
        <f t="shared" ca="1" si="65"/>
        <v>20977.669064459315</v>
      </c>
      <c r="AB228" s="3"/>
      <c r="AC228" s="73"/>
    </row>
    <row r="229" spans="1:29" x14ac:dyDescent="0.25">
      <c r="A229" s="71"/>
      <c r="B229" s="3"/>
      <c r="C229" s="3" t="s">
        <v>429</v>
      </c>
      <c r="D229" s="3"/>
      <c r="E229" s="3"/>
      <c r="F229" s="3"/>
      <c r="G229" s="3" t="str">
        <f>+C65</f>
        <v>Base Annual RfR Deposit</v>
      </c>
      <c r="H229" s="37">
        <f>+H65</f>
        <v>19800</v>
      </c>
      <c r="I229" s="37">
        <f t="shared" ref="I229:AA229" si="66">+H229+I65</f>
        <v>39600</v>
      </c>
      <c r="J229" s="37">
        <f t="shared" si="66"/>
        <v>59400</v>
      </c>
      <c r="K229" s="37">
        <f t="shared" si="66"/>
        <v>79200</v>
      </c>
      <c r="L229" s="37">
        <f t="shared" si="66"/>
        <v>99000</v>
      </c>
      <c r="M229" s="37">
        <f t="shared" si="66"/>
        <v>118800</v>
      </c>
      <c r="N229" s="37">
        <f t="shared" si="66"/>
        <v>138600</v>
      </c>
      <c r="O229" s="37">
        <f t="shared" si="66"/>
        <v>158400</v>
      </c>
      <c r="P229" s="37">
        <f t="shared" si="66"/>
        <v>178200</v>
      </c>
      <c r="Q229" s="37">
        <f t="shared" si="66"/>
        <v>198000</v>
      </c>
      <c r="R229" s="37">
        <f t="shared" si="66"/>
        <v>217800</v>
      </c>
      <c r="S229" s="37">
        <f t="shared" si="66"/>
        <v>237600</v>
      </c>
      <c r="T229" s="37">
        <f t="shared" si="66"/>
        <v>257400</v>
      </c>
      <c r="U229" s="37">
        <f t="shared" si="66"/>
        <v>277200</v>
      </c>
      <c r="V229" s="37">
        <f t="shared" si="66"/>
        <v>297000</v>
      </c>
      <c r="W229" s="37">
        <f t="shared" si="66"/>
        <v>316800</v>
      </c>
      <c r="X229" s="37">
        <f t="shared" si="66"/>
        <v>336600</v>
      </c>
      <c r="Y229" s="37">
        <f t="shared" si="66"/>
        <v>356400</v>
      </c>
      <c r="Z229" s="37">
        <f t="shared" si="66"/>
        <v>376200</v>
      </c>
      <c r="AA229" s="37">
        <f t="shared" si="66"/>
        <v>396000</v>
      </c>
      <c r="AB229" s="3"/>
      <c r="AC229" s="73"/>
    </row>
    <row r="230" spans="1:29" x14ac:dyDescent="0.25">
      <c r="A230" s="71"/>
      <c r="B230" s="3"/>
      <c r="C230" s="3" t="s">
        <v>429</v>
      </c>
      <c r="D230" s="3"/>
      <c r="E230" s="3"/>
      <c r="F230" s="3"/>
      <c r="G230" s="3" t="str">
        <f>+C68</f>
        <v>Inflationary Increase in Annual Deposit</v>
      </c>
      <c r="H230" s="37">
        <f>+H68</f>
        <v>0</v>
      </c>
      <c r="I230" s="37">
        <f t="shared" ref="I230:AA230" si="67">+H230+I68</f>
        <v>396.00000000000034</v>
      </c>
      <c r="J230" s="37">
        <f t="shared" si="67"/>
        <v>1195.92</v>
      </c>
      <c r="K230" s="37">
        <f t="shared" si="67"/>
        <v>2407.8383999999987</v>
      </c>
      <c r="L230" s="37">
        <f t="shared" si="67"/>
        <v>4039.9951679999986</v>
      </c>
      <c r="M230" s="37">
        <f t="shared" si="67"/>
        <v>6100.7950713599985</v>
      </c>
      <c r="N230" s="37">
        <f t="shared" si="67"/>
        <v>8598.8109727871997</v>
      </c>
      <c r="O230" s="37">
        <f t="shared" si="67"/>
        <v>11542.787192242944</v>
      </c>
      <c r="P230" s="37">
        <f t="shared" si="67"/>
        <v>14941.642936087806</v>
      </c>
      <c r="Q230" s="37">
        <f t="shared" si="67"/>
        <v>18804.475794809565</v>
      </c>
      <c r="R230" s="37">
        <f t="shared" si="67"/>
        <v>23140.565310705759</v>
      </c>
      <c r="S230" s="37">
        <f t="shared" si="67"/>
        <v>27959.376616919879</v>
      </c>
      <c r="T230" s="37">
        <f t="shared" si="67"/>
        <v>33270.56414925828</v>
      </c>
      <c r="U230" s="37">
        <f t="shared" si="67"/>
        <v>39083.975432243446</v>
      </c>
      <c r="V230" s="37">
        <f t="shared" si="67"/>
        <v>45409.654940888315</v>
      </c>
      <c r="W230" s="37">
        <f t="shared" si="67"/>
        <v>52257.848039706085</v>
      </c>
      <c r="X230" s="37">
        <f t="shared" si="67"/>
        <v>59639.005000500212</v>
      </c>
      <c r="Y230" s="37">
        <f t="shared" si="67"/>
        <v>67563.785100510227</v>
      </c>
      <c r="Z230" s="37">
        <f t="shared" si="67"/>
        <v>76043.060802520442</v>
      </c>
      <c r="AA230" s="37">
        <f t="shared" si="67"/>
        <v>85087.922018570855</v>
      </c>
      <c r="AB230" s="3"/>
      <c r="AC230" s="73"/>
    </row>
    <row r="231" spans="1:29" ht="15.75" thickBot="1" x14ac:dyDescent="0.3">
      <c r="A231" s="71"/>
      <c r="B231" s="3"/>
      <c r="C231" s="3" t="s">
        <v>429</v>
      </c>
      <c r="D231" s="3"/>
      <c r="E231" s="3"/>
      <c r="F231" s="3"/>
      <c r="G231" s="3" t="s">
        <v>433</v>
      </c>
      <c r="H231" s="67">
        <f ca="1">SUM(H227:H230)</f>
        <v>221800</v>
      </c>
      <c r="I231" s="67">
        <f t="shared" ref="I231:W231" ca="1" si="68">SUM(I227:I230)</f>
        <v>244214</v>
      </c>
      <c r="J231" s="67">
        <f t="shared" ca="1" si="68"/>
        <v>268267.39999999997</v>
      </c>
      <c r="K231" s="67">
        <f t="shared" ca="1" si="68"/>
        <v>291940.12939999998</v>
      </c>
      <c r="L231" s="67">
        <f t="shared" ca="1" si="68"/>
        <v>315655.55810899998</v>
      </c>
      <c r="M231" s="67">
        <f t="shared" ca="1" si="68"/>
        <v>339381.946383995</v>
      </c>
      <c r="N231" s="67">
        <f t="shared" ca="1" si="68"/>
        <v>363168.81648118212</v>
      </c>
      <c r="O231" s="67">
        <f t="shared" ca="1" si="68"/>
        <v>387452.95994785556</v>
      </c>
      <c r="P231" s="67">
        <f t="shared" ca="1" si="68"/>
        <v>411892.8400909183</v>
      </c>
      <c r="Q231" s="67">
        <f t="shared" ca="1" si="68"/>
        <v>436709.62055100384</v>
      </c>
      <c r="R231" s="67">
        <f t="shared" ca="1" si="68"/>
        <v>461918.23437516502</v>
      </c>
      <c r="S231" s="67">
        <f t="shared" ca="1" si="68"/>
        <v>486537.04568137915</v>
      </c>
      <c r="T231" s="67">
        <f t="shared" ca="1" si="68"/>
        <v>511648.23321371758</v>
      </c>
      <c r="U231" s="67">
        <f t="shared" ca="1" si="68"/>
        <v>537261.64449670271</v>
      </c>
      <c r="V231" s="67">
        <f t="shared" ca="1" si="68"/>
        <v>563387.32400534756</v>
      </c>
      <c r="W231" s="67">
        <f t="shared" ca="1" si="68"/>
        <v>590035.5171041654</v>
      </c>
      <c r="X231" s="67">
        <f t="shared" ref="X231:AA231" ca="1" si="69">SUM(X227:X230)</f>
        <v>617216.67406495952</v>
      </c>
      <c r="Y231" s="67">
        <f t="shared" ca="1" si="69"/>
        <v>644941.4541649695</v>
      </c>
      <c r="Z231" s="67">
        <f t="shared" ca="1" si="69"/>
        <v>673220.72986697976</v>
      </c>
      <c r="AA231" s="67">
        <f t="shared" ca="1" si="69"/>
        <v>702065.5910830301</v>
      </c>
      <c r="AB231" s="3"/>
      <c r="AC231" s="73"/>
    </row>
    <row r="232" spans="1:29" ht="15.75" thickTop="1" x14ac:dyDescent="0.25">
      <c r="A232" s="71"/>
      <c r="B232" s="3"/>
      <c r="C232" s="3" t="s">
        <v>429</v>
      </c>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73"/>
    </row>
    <row r="233" spans="1:29" x14ac:dyDescent="0.25">
      <c r="A233" s="71"/>
      <c r="B233" s="3"/>
      <c r="C233" s="3" t="s">
        <v>429</v>
      </c>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73"/>
    </row>
    <row r="234" spans="1:29" x14ac:dyDescent="0.25">
      <c r="A234" s="71"/>
      <c r="B234" s="3"/>
      <c r="C234" s="3" t="s">
        <v>429</v>
      </c>
      <c r="D234" s="3"/>
      <c r="E234" s="3"/>
      <c r="F234" s="3"/>
      <c r="G234" s="3" t="str">
        <f>+G226</f>
        <v>Year of Deposit or Withdraw</v>
      </c>
      <c r="H234" s="72">
        <f>+H226</f>
        <v>1</v>
      </c>
      <c r="I234" s="72">
        <f t="shared" ref="I234:W234" si="70">+I226</f>
        <v>2</v>
      </c>
      <c r="J234" s="72">
        <f t="shared" si="70"/>
        <v>3</v>
      </c>
      <c r="K234" s="72">
        <f t="shared" si="70"/>
        <v>4</v>
      </c>
      <c r="L234" s="72">
        <f t="shared" si="70"/>
        <v>5</v>
      </c>
      <c r="M234" s="72">
        <f t="shared" si="70"/>
        <v>6</v>
      </c>
      <c r="N234" s="72">
        <f t="shared" si="70"/>
        <v>7</v>
      </c>
      <c r="O234" s="72">
        <f t="shared" si="70"/>
        <v>8</v>
      </c>
      <c r="P234" s="72">
        <f t="shared" si="70"/>
        <v>9</v>
      </c>
      <c r="Q234" s="72">
        <f t="shared" si="70"/>
        <v>10</v>
      </c>
      <c r="R234" s="72">
        <f t="shared" si="70"/>
        <v>11</v>
      </c>
      <c r="S234" s="72">
        <f t="shared" si="70"/>
        <v>12</v>
      </c>
      <c r="T234" s="72">
        <f t="shared" si="70"/>
        <v>13</v>
      </c>
      <c r="U234" s="72">
        <f t="shared" si="70"/>
        <v>14</v>
      </c>
      <c r="V234" s="72">
        <f t="shared" si="70"/>
        <v>15</v>
      </c>
      <c r="W234" s="72">
        <f t="shared" si="70"/>
        <v>16</v>
      </c>
      <c r="X234" s="72">
        <f t="shared" ref="X234:AA234" si="71">+X226</f>
        <v>17</v>
      </c>
      <c r="Y234" s="72">
        <f t="shared" si="71"/>
        <v>18</v>
      </c>
      <c r="Z234" s="72">
        <f t="shared" si="71"/>
        <v>19</v>
      </c>
      <c r="AA234" s="72">
        <f t="shared" si="71"/>
        <v>20</v>
      </c>
      <c r="AB234" s="3"/>
      <c r="AC234" s="73"/>
    </row>
    <row r="235" spans="1:29" x14ac:dyDescent="0.25">
      <c r="A235" s="71"/>
      <c r="B235" s="3"/>
      <c r="C235" s="3" t="s">
        <v>429</v>
      </c>
      <c r="D235" s="3"/>
      <c r="E235" s="3"/>
      <c r="F235" s="3"/>
      <c r="G235" s="3" t="str">
        <f>+C73</f>
        <v>Duration Adjusted Uninflated Needs</v>
      </c>
      <c r="H235" s="75">
        <f>+H73</f>
        <v>0</v>
      </c>
      <c r="I235" s="75">
        <f t="shared" ref="I235:AA235" ca="1" si="72">+H235+I73</f>
        <v>-13707.843137254902</v>
      </c>
      <c r="J235" s="75">
        <f t="shared" ca="1" si="72"/>
        <v>-87619.800076893502</v>
      </c>
      <c r="K235" s="75">
        <f t="shared" ca="1" si="72"/>
        <v>-133644.70754084026</v>
      </c>
      <c r="L235" s="75">
        <f t="shared" ca="1" si="72"/>
        <v>-181279.10155219334</v>
      </c>
      <c r="M235" s="75">
        <f t="shared" ca="1" si="72"/>
        <v>-225516.80576590612</v>
      </c>
      <c r="N235" s="75">
        <f t="shared" ca="1" si="72"/>
        <v>-243601.2309355101</v>
      </c>
      <c r="O235" s="75">
        <f t="shared" ca="1" si="72"/>
        <v>-282103.49595506769</v>
      </c>
      <c r="P235" s="75">
        <f t="shared" ca="1" si="72"/>
        <v>-307917.31223171263</v>
      </c>
      <c r="Q235" s="75">
        <f t="shared" ca="1" si="72"/>
        <v>-333224.9752480312</v>
      </c>
      <c r="R235" s="75">
        <f t="shared" ca="1" si="72"/>
        <v>-442899.80050324032</v>
      </c>
      <c r="S235" s="75">
        <f t="shared" ca="1" si="72"/>
        <v>-546389.15132160846</v>
      </c>
      <c r="T235" s="75">
        <f t="shared" ca="1" si="72"/>
        <v>-590471.43928885215</v>
      </c>
      <c r="U235" s="75">
        <f t="shared" ca="1" si="72"/>
        <v>-644399.734303487</v>
      </c>
      <c r="V235" s="75">
        <f t="shared" ca="1" si="72"/>
        <v>-733851.72345564282</v>
      </c>
      <c r="W235" s="75">
        <f t="shared" ca="1" si="72"/>
        <v>-744146.19253963372</v>
      </c>
      <c r="X235" s="75">
        <f t="shared" ca="1" si="72"/>
        <v>-744146.19253963372</v>
      </c>
      <c r="Y235" s="75">
        <f t="shared" ca="1" si="72"/>
        <v>-775445.08100222202</v>
      </c>
      <c r="Z235" s="75">
        <f t="shared" ca="1" si="72"/>
        <v>-801259.25699782954</v>
      </c>
      <c r="AA235" s="75">
        <f t="shared" ca="1" si="72"/>
        <v>-1004776.3672390626</v>
      </c>
      <c r="AB235" s="3"/>
      <c r="AC235" s="73"/>
    </row>
    <row r="236" spans="1:29" x14ac:dyDescent="0.25">
      <c r="A236" s="71"/>
      <c r="B236" s="3"/>
      <c r="C236" s="3" t="s">
        <v>429</v>
      </c>
      <c r="D236" s="3"/>
      <c r="E236" s="3"/>
      <c r="F236" s="3"/>
      <c r="G236" s="3" t="str">
        <f>+C76</f>
        <v>Inflation in Needs Amount</v>
      </c>
      <c r="H236" s="75">
        <f>+H76</f>
        <v>0</v>
      </c>
      <c r="I236" s="75">
        <f t="shared" ref="I236:AA236" ca="1" si="73">+H236+I76</f>
        <v>-274.15686274509829</v>
      </c>
      <c r="J236" s="75">
        <f t="shared" ca="1" si="73"/>
        <v>-3260.1999231064974</v>
      </c>
      <c r="K236" s="75">
        <f t="shared" ca="1" si="73"/>
        <v>-6077.2924591597475</v>
      </c>
      <c r="L236" s="75">
        <f t="shared" ca="1" si="73"/>
        <v>-10003.898447806647</v>
      </c>
      <c r="M236" s="75">
        <f t="shared" ca="1" si="73"/>
        <v>-14608.194234093895</v>
      </c>
      <c r="N236" s="75">
        <f t="shared" ca="1" si="73"/>
        <v>-16889.769064489908</v>
      </c>
      <c r="O236" s="75">
        <f t="shared" ca="1" si="73"/>
        <v>-22614.504044932346</v>
      </c>
      <c r="P236" s="75">
        <f t="shared" ca="1" si="73"/>
        <v>-27045.687768287426</v>
      </c>
      <c r="Q236" s="75">
        <f t="shared" ca="1" si="73"/>
        <v>-31983.024751968875</v>
      </c>
      <c r="R236" s="75">
        <f t="shared" ca="1" si="73"/>
        <v>-56001.199496759757</v>
      </c>
      <c r="S236" s="75">
        <f t="shared" ca="1" si="73"/>
        <v>-81187.84867839166</v>
      </c>
      <c r="T236" s="75">
        <f t="shared" ca="1" si="73"/>
        <v>-93012.560711148006</v>
      </c>
      <c r="U236" s="75">
        <f t="shared" ca="1" si="73"/>
        <v>-108846.26569651319</v>
      </c>
      <c r="V236" s="75">
        <f t="shared" ca="1" si="73"/>
        <v>-137424.27654435739</v>
      </c>
      <c r="W236" s="75">
        <f t="shared" ca="1" si="73"/>
        <v>-140984.80746036646</v>
      </c>
      <c r="X236" s="75">
        <f t="shared" ca="1" si="73"/>
        <v>-140984.80746036646</v>
      </c>
      <c r="Y236" s="75">
        <f t="shared" ca="1" si="73"/>
        <v>-153511.91899777821</v>
      </c>
      <c r="Z236" s="75">
        <f t="shared" ca="1" si="73"/>
        <v>-164566.74300217067</v>
      </c>
      <c r="AA236" s="75">
        <f t="shared" ca="1" si="73"/>
        <v>-257535.63276093762</v>
      </c>
      <c r="AB236" s="3"/>
      <c r="AC236" s="73"/>
    </row>
    <row r="237" spans="1:29" ht="15.75" thickBot="1" x14ac:dyDescent="0.3">
      <c r="A237" s="71"/>
      <c r="B237" s="3"/>
      <c r="C237" s="3" t="s">
        <v>429</v>
      </c>
      <c r="D237" s="3"/>
      <c r="E237" s="3"/>
      <c r="F237" s="3"/>
      <c r="G237" s="3" t="s">
        <v>434</v>
      </c>
      <c r="H237" s="67">
        <f>+H235+H236</f>
        <v>0</v>
      </c>
      <c r="I237" s="67">
        <f ca="1">+I235+I236</f>
        <v>-13982</v>
      </c>
      <c r="J237" s="67">
        <f t="shared" ref="J237:W237" ca="1" si="74">+J235+J236</f>
        <v>-90880</v>
      </c>
      <c r="K237" s="67">
        <f t="shared" ca="1" si="74"/>
        <v>-139722</v>
      </c>
      <c r="L237" s="67">
        <f t="shared" ca="1" si="74"/>
        <v>-191283</v>
      </c>
      <c r="M237" s="67">
        <f t="shared" ca="1" si="74"/>
        <v>-240125</v>
      </c>
      <c r="N237" s="67">
        <f t="shared" ca="1" si="74"/>
        <v>-260491</v>
      </c>
      <c r="O237" s="67">
        <f t="shared" ca="1" si="74"/>
        <v>-304718.00000000006</v>
      </c>
      <c r="P237" s="67">
        <f t="shared" ca="1" si="74"/>
        <v>-334963.00000000006</v>
      </c>
      <c r="Q237" s="67">
        <f t="shared" ca="1" si="74"/>
        <v>-365208.00000000006</v>
      </c>
      <c r="R237" s="67">
        <f t="shared" ca="1" si="74"/>
        <v>-498901.00000000006</v>
      </c>
      <c r="S237" s="67">
        <f t="shared" ca="1" si="74"/>
        <v>-627577.00000000012</v>
      </c>
      <c r="T237" s="67">
        <f t="shared" ca="1" si="74"/>
        <v>-683484.00000000012</v>
      </c>
      <c r="U237" s="67">
        <f t="shared" ca="1" si="74"/>
        <v>-753246.00000000023</v>
      </c>
      <c r="V237" s="67">
        <f t="shared" ca="1" si="74"/>
        <v>-871276.00000000023</v>
      </c>
      <c r="W237" s="67">
        <f t="shared" ca="1" si="74"/>
        <v>-885131.00000000023</v>
      </c>
      <c r="X237" s="67">
        <f t="shared" ref="X237:AA237" ca="1" si="75">+X235+X236</f>
        <v>-885131.00000000023</v>
      </c>
      <c r="Y237" s="67">
        <f t="shared" ca="1" si="75"/>
        <v>-928957.00000000023</v>
      </c>
      <c r="Z237" s="67">
        <f t="shared" ca="1" si="75"/>
        <v>-965826.00000000023</v>
      </c>
      <c r="AA237" s="67">
        <f t="shared" ca="1" si="75"/>
        <v>-1262312.0000000002</v>
      </c>
      <c r="AB237" s="3"/>
      <c r="AC237" s="73"/>
    </row>
    <row r="238" spans="1:29" ht="15.75" thickTop="1" x14ac:dyDescent="0.25">
      <c r="A238" s="71"/>
      <c r="B238" s="3"/>
      <c r="C238" s="3" t="s">
        <v>429</v>
      </c>
      <c r="D238" s="3"/>
      <c r="E238" s="3"/>
      <c r="F238" s="3"/>
      <c r="G238" s="3" t="s">
        <v>435</v>
      </c>
      <c r="H238" s="3"/>
      <c r="I238" s="3"/>
      <c r="J238" s="3"/>
      <c r="K238" s="3"/>
      <c r="L238" s="3"/>
      <c r="M238" s="3"/>
      <c r="N238" s="3"/>
      <c r="O238" s="3"/>
      <c r="P238" s="3"/>
      <c r="Q238" s="37">
        <f ca="1">+MAX(H231:Q231)-MAX(H237:Q237)</f>
        <v>436709.62055100384</v>
      </c>
      <c r="R238" s="3"/>
      <c r="S238" s="3"/>
      <c r="T238" s="3"/>
      <c r="U238" s="3"/>
      <c r="V238" s="3"/>
      <c r="W238" s="3"/>
      <c r="X238" s="3"/>
      <c r="Y238" s="3"/>
      <c r="Z238" s="3"/>
      <c r="AA238" s="3"/>
      <c r="AB238" s="3"/>
      <c r="AC238" s="73"/>
    </row>
    <row r="239" spans="1:29" x14ac:dyDescent="0.25">
      <c r="A239" s="71"/>
      <c r="B239" s="3"/>
      <c r="C239" s="3" t="s">
        <v>429</v>
      </c>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73"/>
    </row>
    <row r="240" spans="1:29" ht="15.75" thickBot="1" x14ac:dyDescent="0.3">
      <c r="A240" s="71"/>
      <c r="B240" s="3"/>
      <c r="C240" s="3" t="s">
        <v>429</v>
      </c>
      <c r="D240" s="3"/>
      <c r="E240" s="3"/>
      <c r="F240" s="3"/>
      <c r="G240" s="3" t="s">
        <v>436</v>
      </c>
      <c r="H240" s="67">
        <f ca="1">+H231+H237</f>
        <v>221800</v>
      </c>
      <c r="I240" s="67">
        <f t="shared" ref="I240:AA240" ca="1" si="76">+I231+I237</f>
        <v>230232</v>
      </c>
      <c r="J240" s="67">
        <f t="shared" ca="1" si="76"/>
        <v>177387.39999999997</v>
      </c>
      <c r="K240" s="67">
        <f t="shared" ca="1" si="76"/>
        <v>152218.12939999998</v>
      </c>
      <c r="L240" s="67">
        <f t="shared" ca="1" si="76"/>
        <v>124372.55810899998</v>
      </c>
      <c r="M240" s="67">
        <f t="shared" ca="1" si="76"/>
        <v>99256.946383995004</v>
      </c>
      <c r="N240" s="67">
        <f t="shared" ca="1" si="76"/>
        <v>102677.81648118212</v>
      </c>
      <c r="O240" s="67">
        <f t="shared" ca="1" si="76"/>
        <v>82734.959947855503</v>
      </c>
      <c r="P240" s="67">
        <f t="shared" ca="1" si="76"/>
        <v>76929.840090918238</v>
      </c>
      <c r="Q240" s="67">
        <f t="shared" ca="1" si="76"/>
        <v>71501.620551003783</v>
      </c>
      <c r="R240" s="67">
        <f t="shared" ca="1" si="76"/>
        <v>-36982.765624835039</v>
      </c>
      <c r="S240" s="67">
        <f t="shared" ca="1" si="76"/>
        <v>-141039.95431862096</v>
      </c>
      <c r="T240" s="67">
        <f t="shared" ca="1" si="76"/>
        <v>-171835.76678628253</v>
      </c>
      <c r="U240" s="67">
        <f t="shared" ca="1" si="76"/>
        <v>-215984.35550329753</v>
      </c>
      <c r="V240" s="67">
        <f t="shared" ca="1" si="76"/>
        <v>-307888.67599465267</v>
      </c>
      <c r="W240" s="67">
        <f t="shared" ca="1" si="76"/>
        <v>-295095.48289583484</v>
      </c>
      <c r="X240" s="67">
        <f t="shared" ca="1" si="76"/>
        <v>-267914.32593504072</v>
      </c>
      <c r="Y240" s="67">
        <f t="shared" ca="1" si="76"/>
        <v>-284015.54583503073</v>
      </c>
      <c r="Z240" s="67">
        <f t="shared" ca="1" si="76"/>
        <v>-292605.27013302047</v>
      </c>
      <c r="AA240" s="67">
        <f t="shared" ca="1" si="76"/>
        <v>-560246.40891697013</v>
      </c>
      <c r="AB240" s="3"/>
      <c r="AC240" s="73"/>
    </row>
    <row r="241" spans="1:29" ht="15.75" thickTop="1" x14ac:dyDescent="0.25">
      <c r="A241" s="71"/>
      <c r="B241" s="3"/>
      <c r="C241" s="3" t="s">
        <v>429</v>
      </c>
      <c r="D241" s="3"/>
      <c r="E241" s="3"/>
      <c r="F241" s="3"/>
      <c r="G241" s="3" t="s">
        <v>437</v>
      </c>
      <c r="H241" s="3">
        <f ca="1">+(H231+H237)/2</f>
        <v>110900</v>
      </c>
      <c r="I241" s="76">
        <f t="shared" ref="I241:W241" ca="1" si="77">+(I231+I237)/2</f>
        <v>115116</v>
      </c>
      <c r="J241" s="76">
        <f t="shared" ca="1" si="77"/>
        <v>88693.699999999983</v>
      </c>
      <c r="K241" s="76">
        <f t="shared" ca="1" si="77"/>
        <v>76109.064699999988</v>
      </c>
      <c r="L241" s="76">
        <f t="shared" ca="1" si="77"/>
        <v>62186.279054499988</v>
      </c>
      <c r="M241" s="76">
        <f t="shared" ca="1" si="77"/>
        <v>49628.473191997502</v>
      </c>
      <c r="N241" s="76">
        <f t="shared" ca="1" si="77"/>
        <v>51338.908240591059</v>
      </c>
      <c r="O241" s="76">
        <f t="shared" ca="1" si="77"/>
        <v>41367.479973927751</v>
      </c>
      <c r="P241" s="76">
        <f t="shared" ca="1" si="77"/>
        <v>38464.920045459119</v>
      </c>
      <c r="Q241" s="76">
        <f t="shared" ca="1" si="77"/>
        <v>35750.810275501892</v>
      </c>
      <c r="R241" s="76">
        <f t="shared" ca="1" si="77"/>
        <v>-18491.38281241752</v>
      </c>
      <c r="S241" s="76">
        <f t="shared" ca="1" si="77"/>
        <v>-70519.977159310482</v>
      </c>
      <c r="T241" s="76">
        <f t="shared" ca="1" si="77"/>
        <v>-85917.883393141266</v>
      </c>
      <c r="U241" s="76">
        <f t="shared" ca="1" si="77"/>
        <v>-107992.17775164876</v>
      </c>
      <c r="V241" s="76">
        <f t="shared" ca="1" si="77"/>
        <v>-153944.33799732634</v>
      </c>
      <c r="W241" s="76">
        <f t="shared" ca="1" si="77"/>
        <v>-147547.74144791742</v>
      </c>
      <c r="X241" s="76">
        <f t="shared" ref="X241:AA241" ca="1" si="78">+(X231+X237)/2</f>
        <v>-133957.16296752036</v>
      </c>
      <c r="Y241" s="76">
        <f t="shared" ca="1" si="78"/>
        <v>-142007.77291751537</v>
      </c>
      <c r="Z241" s="76">
        <f t="shared" ca="1" si="78"/>
        <v>-146302.63506651024</v>
      </c>
      <c r="AA241" s="76">
        <f t="shared" ca="1" si="78"/>
        <v>-280123.20445848507</v>
      </c>
      <c r="AB241" s="3"/>
      <c r="AC241" s="73"/>
    </row>
    <row r="242" spans="1:29" x14ac:dyDescent="0.25">
      <c r="A242" s="71"/>
      <c r="B242" s="3"/>
      <c r="C242" s="3" t="s">
        <v>429</v>
      </c>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73"/>
    </row>
    <row r="243" spans="1:29" x14ac:dyDescent="0.25">
      <c r="A243" s="71"/>
      <c r="B243" s="3"/>
      <c r="C243" s="3" t="s">
        <v>429</v>
      </c>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73"/>
    </row>
    <row r="244" spans="1:29" x14ac:dyDescent="0.25">
      <c r="A244" s="71"/>
      <c r="B244" s="3"/>
      <c r="C244" s="3" t="s">
        <v>429</v>
      </c>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73"/>
    </row>
    <row r="245" spans="1:29" x14ac:dyDescent="0.25">
      <c r="A245" s="71"/>
      <c r="B245" s="3"/>
      <c r="C245" s="3" t="s">
        <v>429</v>
      </c>
      <c r="D245" s="3"/>
      <c r="E245" s="3"/>
      <c r="F245" s="3"/>
      <c r="G245" s="3" t="str">
        <f>+G234</f>
        <v>Year of Deposit or Withdraw</v>
      </c>
      <c r="H245" s="72">
        <f>+H234</f>
        <v>1</v>
      </c>
      <c r="I245" s="72">
        <f t="shared" ref="I245:Q245" si="79">+I234</f>
        <v>2</v>
      </c>
      <c r="J245" s="72">
        <f t="shared" si="79"/>
        <v>3</v>
      </c>
      <c r="K245" s="72">
        <f t="shared" si="79"/>
        <v>4</v>
      </c>
      <c r="L245" s="72">
        <f t="shared" si="79"/>
        <v>5</v>
      </c>
      <c r="M245" s="72">
        <f t="shared" si="79"/>
        <v>6</v>
      </c>
      <c r="N245" s="72">
        <f t="shared" si="79"/>
        <v>7</v>
      </c>
      <c r="O245" s="72">
        <f t="shared" si="79"/>
        <v>8</v>
      </c>
      <c r="P245" s="72">
        <f t="shared" si="79"/>
        <v>9</v>
      </c>
      <c r="Q245" s="72">
        <f t="shared" si="79"/>
        <v>10</v>
      </c>
      <c r="R245" s="3"/>
      <c r="S245" s="3"/>
      <c r="T245" s="3"/>
      <c r="U245" s="3"/>
      <c r="V245" s="3"/>
      <c r="W245" s="3"/>
      <c r="X245" s="3"/>
      <c r="Y245" s="3"/>
      <c r="Z245" s="3"/>
      <c r="AA245" s="3"/>
      <c r="AB245" s="3"/>
      <c r="AC245" s="73"/>
    </row>
    <row r="246" spans="1:29" x14ac:dyDescent="0.25">
      <c r="A246" s="71"/>
      <c r="B246" s="3"/>
      <c r="C246" s="3" t="s">
        <v>429</v>
      </c>
      <c r="D246" s="3"/>
      <c r="E246" s="3"/>
      <c r="F246" s="3"/>
      <c r="G246" s="3" t="str">
        <f>+C79</f>
        <v>Ending RfR Balance</v>
      </c>
      <c r="H246" s="89">
        <f t="shared" ref="H246:Q246" ca="1" si="80">+H79</f>
        <v>221800</v>
      </c>
      <c r="I246" s="89">
        <f t="shared" ca="1" si="80"/>
        <v>230232</v>
      </c>
      <c r="J246" s="89">
        <f t="shared" ca="1" si="80"/>
        <v>177387.4</v>
      </c>
      <c r="K246" s="89">
        <f t="shared" ca="1" si="80"/>
        <v>152218.12939999998</v>
      </c>
      <c r="L246" s="89">
        <f t="shared" ca="1" si="80"/>
        <v>124372.55810899998</v>
      </c>
      <c r="M246" s="89">
        <f t="shared" ca="1" si="80"/>
        <v>99256.946383994975</v>
      </c>
      <c r="N246" s="89">
        <f t="shared" ca="1" si="80"/>
        <v>102677.81648118209</v>
      </c>
      <c r="O246" s="89">
        <f t="shared" ca="1" si="80"/>
        <v>82734.959947855561</v>
      </c>
      <c r="P246" s="89">
        <f t="shared" ca="1" si="80"/>
        <v>76929.840090918253</v>
      </c>
      <c r="Q246" s="89">
        <f t="shared" ca="1" si="80"/>
        <v>71501.620551003783</v>
      </c>
      <c r="R246" s="3"/>
      <c r="S246" s="3"/>
      <c r="T246" s="3"/>
      <c r="U246" s="3"/>
      <c r="V246" s="3"/>
      <c r="W246" s="3"/>
      <c r="X246" s="3"/>
      <c r="Y246" s="3"/>
      <c r="Z246" s="3"/>
      <c r="AA246" s="3"/>
      <c r="AB246" s="3"/>
      <c r="AC246" s="73"/>
    </row>
    <row r="247" spans="1:29" x14ac:dyDescent="0.25">
      <c r="A247" s="71"/>
      <c r="B247" s="3"/>
      <c r="C247" s="3" t="s">
        <v>429</v>
      </c>
      <c r="D247" s="3"/>
      <c r="E247" s="3"/>
      <c r="F247" s="3"/>
      <c r="G247" s="3" t="str">
        <f>+C93</f>
        <v>20 year equal to eTool (NOT 10 Yr) Minimum Balance-inflated</v>
      </c>
      <c r="H247" s="193">
        <f t="shared" ref="H247:Q247" ca="1" si="81">+H93</f>
        <v>-33322.497524803119</v>
      </c>
      <c r="I247" s="193">
        <f t="shared" ca="1" si="81"/>
        <v>-33322.497524803119</v>
      </c>
      <c r="J247" s="193">
        <f t="shared" ca="1" si="81"/>
        <v>-33322.497524803119</v>
      </c>
      <c r="K247" s="193">
        <f t="shared" ca="1" si="81"/>
        <v>-33322.497524803119</v>
      </c>
      <c r="L247" s="193">
        <f t="shared" ca="1" si="81"/>
        <v>-33322.497524803119</v>
      </c>
      <c r="M247" s="193">
        <f t="shared" ca="1" si="81"/>
        <v>-33322.497524803119</v>
      </c>
      <c r="N247" s="193">
        <f t="shared" ca="1" si="81"/>
        <v>-33322.497524803119</v>
      </c>
      <c r="O247" s="193">
        <f t="shared" ca="1" si="81"/>
        <v>-33322.497524803119</v>
      </c>
      <c r="P247" s="193">
        <f t="shared" ca="1" si="81"/>
        <v>-33322.497524803119</v>
      </c>
      <c r="Q247" s="193">
        <f t="shared" ca="1" si="81"/>
        <v>-33322.497524803119</v>
      </c>
      <c r="R247" s="3"/>
      <c r="S247" s="3"/>
      <c r="T247" s="3"/>
      <c r="U247" s="3"/>
      <c r="V247" s="3"/>
      <c r="W247" s="3"/>
      <c r="X247" s="3"/>
      <c r="Y247" s="3"/>
      <c r="Z247" s="3"/>
      <c r="AA247" s="3"/>
      <c r="AB247" s="3"/>
      <c r="AC247" s="73"/>
    </row>
    <row r="248" spans="1:29" x14ac:dyDescent="0.25">
      <c r="A248" s="71"/>
      <c r="B248" s="3"/>
      <c r="C248" s="3" t="s">
        <v>429</v>
      </c>
      <c r="D248" s="3"/>
      <c r="E248" s="3"/>
      <c r="F248" s="3"/>
      <c r="G248" s="3" t="str">
        <f>+C94</f>
        <v>Margin exceeding Minimum Balance</v>
      </c>
      <c r="H248" s="193">
        <f t="shared" ref="H248:Q248" ca="1" si="82">+H94</f>
        <v>255122.49752480313</v>
      </c>
      <c r="I248" s="193">
        <f t="shared" ca="1" si="82"/>
        <v>263554.4975248031</v>
      </c>
      <c r="J248" s="193">
        <f t="shared" ca="1" si="82"/>
        <v>210709.89752480312</v>
      </c>
      <c r="K248" s="193">
        <f t="shared" ca="1" si="82"/>
        <v>185540.6269248031</v>
      </c>
      <c r="L248" s="193">
        <f t="shared" ca="1" si="82"/>
        <v>157695.0556338031</v>
      </c>
      <c r="M248" s="193">
        <f t="shared" ca="1" si="82"/>
        <v>132579.4439087981</v>
      </c>
      <c r="N248" s="193">
        <f t="shared" ca="1" si="82"/>
        <v>136000.31400598522</v>
      </c>
      <c r="O248" s="193">
        <f t="shared" ca="1" si="82"/>
        <v>116057.45747265869</v>
      </c>
      <c r="P248" s="193">
        <f t="shared" ca="1" si="82"/>
        <v>110252.33761572136</v>
      </c>
      <c r="Q248" s="193">
        <f t="shared" ca="1" si="82"/>
        <v>104824.11807580691</v>
      </c>
      <c r="R248" s="3"/>
      <c r="S248" s="3"/>
      <c r="T248" s="3"/>
      <c r="U248" s="3"/>
      <c r="V248" s="3"/>
      <c r="W248" s="3"/>
      <c r="X248" s="3"/>
      <c r="Y248" s="3"/>
      <c r="Z248" s="3"/>
      <c r="AA248" s="3"/>
      <c r="AB248" s="3"/>
      <c r="AC248" s="73"/>
    </row>
    <row r="249" spans="1:29" x14ac:dyDescent="0.25">
      <c r="A249" s="71"/>
      <c r="B249" s="3"/>
      <c r="C249" s="3" t="s">
        <v>429</v>
      </c>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73"/>
    </row>
    <row r="250" spans="1:29" x14ac:dyDescent="0.25">
      <c r="A250" s="71"/>
      <c r="B250" s="3"/>
      <c r="C250" s="3" t="s">
        <v>429</v>
      </c>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73"/>
    </row>
    <row r="251" spans="1:29" x14ac:dyDescent="0.25">
      <c r="A251" s="71"/>
      <c r="B251" s="3"/>
      <c r="C251" s="3" t="s">
        <v>429</v>
      </c>
      <c r="D251" s="3"/>
      <c r="E251" s="3"/>
      <c r="F251" s="3"/>
      <c r="G251" s="3" t="str">
        <f>+G245</f>
        <v>Year of Deposit or Withdraw</v>
      </c>
      <c r="H251" s="72">
        <f t="shared" ref="H251:AA251" si="83">+H57</f>
        <v>1</v>
      </c>
      <c r="I251" s="72">
        <f t="shared" si="83"/>
        <v>2</v>
      </c>
      <c r="J251" s="72">
        <f t="shared" si="83"/>
        <v>3</v>
      </c>
      <c r="K251" s="72">
        <f t="shared" si="83"/>
        <v>4</v>
      </c>
      <c r="L251" s="72">
        <f t="shared" si="83"/>
        <v>5</v>
      </c>
      <c r="M251" s="72">
        <f t="shared" si="83"/>
        <v>6</v>
      </c>
      <c r="N251" s="72">
        <f t="shared" si="83"/>
        <v>7</v>
      </c>
      <c r="O251" s="72">
        <f t="shared" si="83"/>
        <v>8</v>
      </c>
      <c r="P251" s="72">
        <f t="shared" si="83"/>
        <v>9</v>
      </c>
      <c r="Q251" s="72">
        <f t="shared" si="83"/>
        <v>10</v>
      </c>
      <c r="R251" s="72">
        <f t="shared" si="83"/>
        <v>11</v>
      </c>
      <c r="S251" s="72">
        <f t="shared" si="83"/>
        <v>12</v>
      </c>
      <c r="T251" s="72">
        <f t="shared" si="83"/>
        <v>13</v>
      </c>
      <c r="U251" s="72">
        <f t="shared" si="83"/>
        <v>14</v>
      </c>
      <c r="V251" s="72">
        <f t="shared" si="83"/>
        <v>15</v>
      </c>
      <c r="W251" s="72">
        <f t="shared" si="83"/>
        <v>16</v>
      </c>
      <c r="X251" s="72">
        <f t="shared" si="83"/>
        <v>17</v>
      </c>
      <c r="Y251" s="72">
        <f t="shared" si="83"/>
        <v>18</v>
      </c>
      <c r="Z251" s="72">
        <f t="shared" si="83"/>
        <v>19</v>
      </c>
      <c r="AA251" s="72">
        <f t="shared" si="83"/>
        <v>20</v>
      </c>
      <c r="AB251" s="3"/>
      <c r="AC251" s="73"/>
    </row>
    <row r="252" spans="1:29" x14ac:dyDescent="0.25">
      <c r="A252" s="71"/>
      <c r="B252" s="3"/>
      <c r="C252" s="3" t="s">
        <v>429</v>
      </c>
      <c r="D252" s="3"/>
      <c r="E252" s="3"/>
      <c r="F252" s="3"/>
      <c r="G252" s="3" t="str">
        <f>+G246</f>
        <v>Ending RfR Balance</v>
      </c>
      <c r="H252" s="89">
        <f t="shared" ref="H252:AA252" ca="1" si="84">+H79</f>
        <v>221800</v>
      </c>
      <c r="I252" s="89">
        <f t="shared" ca="1" si="84"/>
        <v>230232</v>
      </c>
      <c r="J252" s="89">
        <f t="shared" ca="1" si="84"/>
        <v>177387.4</v>
      </c>
      <c r="K252" s="89">
        <f t="shared" ca="1" si="84"/>
        <v>152218.12939999998</v>
      </c>
      <c r="L252" s="89">
        <f t="shared" ca="1" si="84"/>
        <v>124372.55810899998</v>
      </c>
      <c r="M252" s="89">
        <f t="shared" ca="1" si="84"/>
        <v>99256.946383994975</v>
      </c>
      <c r="N252" s="89">
        <f t="shared" ca="1" si="84"/>
        <v>102677.81648118209</v>
      </c>
      <c r="O252" s="89">
        <f t="shared" ca="1" si="84"/>
        <v>82734.959947855561</v>
      </c>
      <c r="P252" s="89">
        <f t="shared" ca="1" si="84"/>
        <v>76929.840090918253</v>
      </c>
      <c r="Q252" s="89">
        <f t="shared" ca="1" si="84"/>
        <v>71501.620551003783</v>
      </c>
      <c r="R252" s="89">
        <f t="shared" ca="1" si="84"/>
        <v>-36982.765624834967</v>
      </c>
      <c r="S252" s="89">
        <f t="shared" ca="1" si="84"/>
        <v>-141039.95431862085</v>
      </c>
      <c r="T252" s="89">
        <f t="shared" ca="1" si="84"/>
        <v>-171835.76678628245</v>
      </c>
      <c r="U252" s="89">
        <f t="shared" ca="1" si="84"/>
        <v>-215984.35550329729</v>
      </c>
      <c r="V252" s="89">
        <f t="shared" ca="1" si="84"/>
        <v>-307888.67599465244</v>
      </c>
      <c r="W252" s="89">
        <f t="shared" ca="1" si="84"/>
        <v>-295095.48289583466</v>
      </c>
      <c r="X252" s="89">
        <f t="shared" ca="1" si="84"/>
        <v>-267914.32593504054</v>
      </c>
      <c r="Y252" s="89">
        <f t="shared" ca="1" si="84"/>
        <v>-284015.5458350305</v>
      </c>
      <c r="Z252" s="89">
        <f t="shared" ca="1" si="84"/>
        <v>-292605.2701330203</v>
      </c>
      <c r="AA252" s="89">
        <f t="shared" ca="1" si="84"/>
        <v>-560246.4089169699</v>
      </c>
      <c r="AB252" s="3"/>
      <c r="AC252" s="73"/>
    </row>
    <row r="253" spans="1:29" x14ac:dyDescent="0.25">
      <c r="A253" s="71"/>
      <c r="B253" s="3"/>
      <c r="C253" s="3" t="s">
        <v>429</v>
      </c>
      <c r="D253" s="3"/>
      <c r="E253" s="3"/>
      <c r="F253" s="3"/>
      <c r="G253" s="3" t="str">
        <f>+C102</f>
        <v>Estimate Period Minimum Balance-inflated</v>
      </c>
      <c r="H253" s="193">
        <f>-+H102</f>
        <v>50151</v>
      </c>
      <c r="I253" s="193">
        <f t="shared" ref="I253:AA253" ca="1" si="85">-+I102</f>
        <v>51154.020000000004</v>
      </c>
      <c r="J253" s="193">
        <f t="shared" ca="1" si="85"/>
        <v>52177.100400000003</v>
      </c>
      <c r="K253" s="193">
        <f t="shared" ca="1" si="85"/>
        <v>53220.642408</v>
      </c>
      <c r="L253" s="193">
        <f t="shared" ca="1" si="85"/>
        <v>54285.055256159998</v>
      </c>
      <c r="M253" s="193">
        <f t="shared" ca="1" si="85"/>
        <v>55370.756361283202</v>
      </c>
      <c r="N253" s="193">
        <f t="shared" ca="1" si="85"/>
        <v>56478.171488508866</v>
      </c>
      <c r="O253" s="193">
        <f t="shared" ca="1" si="85"/>
        <v>57607.734918279042</v>
      </c>
      <c r="P253" s="193">
        <f t="shared" ca="1" si="85"/>
        <v>58759.889616644628</v>
      </c>
      <c r="Q253" s="193">
        <f t="shared" ca="1" si="85"/>
        <v>59935.087408977524</v>
      </c>
      <c r="R253" s="193">
        <f t="shared" ca="1" si="85"/>
        <v>61133.789157157073</v>
      </c>
      <c r="S253" s="193">
        <f t="shared" ca="1" si="85"/>
        <v>62356.464940300211</v>
      </c>
      <c r="T253" s="193">
        <f t="shared" ca="1" si="85"/>
        <v>63603.59423910622</v>
      </c>
      <c r="U253" s="193">
        <f t="shared" ca="1" si="85"/>
        <v>64875.666123888339</v>
      </c>
      <c r="V253" s="193">
        <f t="shared" ca="1" si="85"/>
        <v>66173.179446366106</v>
      </c>
      <c r="W253" s="193">
        <f t="shared" ca="1" si="85"/>
        <v>67496.64303529344</v>
      </c>
      <c r="X253" s="193">
        <f t="shared" ca="1" si="85"/>
        <v>68846.575895999311</v>
      </c>
      <c r="Y253" s="193">
        <f t="shared" ca="1" si="85"/>
        <v>70223.507413919302</v>
      </c>
      <c r="Z253" s="193">
        <f t="shared" ca="1" si="85"/>
        <v>71627.977562197688</v>
      </c>
      <c r="AA253" s="193">
        <f t="shared" ca="1" si="85"/>
        <v>73060.537113441635</v>
      </c>
      <c r="AB253" s="3"/>
      <c r="AC253" s="73"/>
    </row>
    <row r="254" spans="1:29" x14ac:dyDescent="0.25">
      <c r="A254" s="71"/>
      <c r="B254" s="3"/>
      <c r="C254" s="3" t="s">
        <v>429</v>
      </c>
      <c r="D254" s="3"/>
      <c r="E254" s="3"/>
      <c r="F254" s="3"/>
      <c r="G254" s="3" t="str">
        <f>+C103</f>
        <v>Margin exceeding Minimum Balance</v>
      </c>
      <c r="H254" s="193">
        <f t="shared" ref="H254:AA254" ca="1" si="86">+H103</f>
        <v>171649</v>
      </c>
      <c r="I254" s="193">
        <f t="shared" ca="1" si="86"/>
        <v>179077.97999999998</v>
      </c>
      <c r="J254" s="193">
        <f t="shared" ca="1" si="86"/>
        <v>125210.2996</v>
      </c>
      <c r="K254" s="193">
        <f t="shared" ca="1" si="86"/>
        <v>98997.486991999976</v>
      </c>
      <c r="L254" s="193">
        <f t="shared" ca="1" si="86"/>
        <v>70087.502852839971</v>
      </c>
      <c r="M254" s="193">
        <f t="shared" ca="1" si="86"/>
        <v>43886.190022711773</v>
      </c>
      <c r="N254" s="193">
        <f t="shared" ca="1" si="86"/>
        <v>46199.644992673224</v>
      </c>
      <c r="O254" s="193">
        <f t="shared" ca="1" si="86"/>
        <v>25127.225029576519</v>
      </c>
      <c r="P254" s="193">
        <f t="shared" ca="1" si="86"/>
        <v>18169.950474273624</v>
      </c>
      <c r="Q254" s="193">
        <f t="shared" ca="1" si="86"/>
        <v>11566.533142026259</v>
      </c>
      <c r="R254" s="193">
        <f t="shared" ca="1" si="86"/>
        <v>-98116.554781992047</v>
      </c>
      <c r="S254" s="193">
        <f t="shared" ca="1" si="86"/>
        <v>-203396.41925892106</v>
      </c>
      <c r="T254" s="193">
        <f t="shared" ca="1" si="86"/>
        <v>-235439.36102538867</v>
      </c>
      <c r="U254" s="193">
        <f t="shared" ca="1" si="86"/>
        <v>-280860.02162718563</v>
      </c>
      <c r="V254" s="193">
        <f t="shared" ca="1" si="86"/>
        <v>-374061.85544101853</v>
      </c>
      <c r="W254" s="193">
        <f t="shared" ca="1" si="86"/>
        <v>-362592.1259311281</v>
      </c>
      <c r="X254" s="193">
        <f t="shared" ca="1" si="86"/>
        <v>-336760.90183103987</v>
      </c>
      <c r="Y254" s="193">
        <f t="shared" ca="1" si="86"/>
        <v>-354239.05324894981</v>
      </c>
      <c r="Z254" s="193">
        <f t="shared" ca="1" si="86"/>
        <v>-364233.24769521796</v>
      </c>
      <c r="AA254" s="193">
        <f t="shared" ca="1" si="86"/>
        <v>-633306.94603041152</v>
      </c>
      <c r="AB254" s="3"/>
      <c r="AC254" s="73"/>
    </row>
    <row r="255" spans="1:29" x14ac:dyDescent="0.25">
      <c r="A255" s="71"/>
      <c r="B255" s="3"/>
      <c r="C255" s="3" t="s">
        <v>429</v>
      </c>
      <c r="D255" s="3"/>
      <c r="E255" s="3"/>
      <c r="F255" s="3"/>
      <c r="G255" s="3"/>
      <c r="H255" s="193"/>
      <c r="I255" s="193"/>
      <c r="J255" s="193"/>
      <c r="K255" s="193"/>
      <c r="L255" s="193"/>
      <c r="M255" s="193"/>
      <c r="N255" s="193"/>
      <c r="O255" s="193"/>
      <c r="P255" s="193"/>
      <c r="Q255" s="193"/>
      <c r="R255" s="193"/>
      <c r="S255" s="193"/>
      <c r="T255" s="193"/>
      <c r="U255" s="193"/>
      <c r="V255" s="193"/>
      <c r="W255" s="193"/>
      <c r="X255" s="193"/>
      <c r="Y255" s="193"/>
      <c r="Z255" s="193"/>
      <c r="AA255" s="193"/>
      <c r="AB255" s="3"/>
      <c r="AC255" s="73"/>
    </row>
    <row r="256" spans="1:29" x14ac:dyDescent="0.25">
      <c r="A256" s="71"/>
      <c r="B256" s="3"/>
      <c r="C256" s="3" t="s">
        <v>429</v>
      </c>
      <c r="D256" s="3"/>
      <c r="E256" s="3"/>
      <c r="F256" s="3"/>
      <c r="G256" s="3"/>
      <c r="H256" s="193"/>
      <c r="I256" s="193"/>
      <c r="J256" s="193"/>
      <c r="K256" s="193"/>
      <c r="L256" s="193"/>
      <c r="M256" s="193"/>
      <c r="N256" s="193"/>
      <c r="O256" s="193"/>
      <c r="P256" s="193"/>
      <c r="Q256" s="193"/>
      <c r="R256" s="193"/>
      <c r="S256" s="193"/>
      <c r="T256" s="193"/>
      <c r="U256" s="193"/>
      <c r="V256" s="193"/>
      <c r="W256" s="193"/>
      <c r="X256" s="193"/>
      <c r="Y256" s="193"/>
      <c r="Z256" s="193"/>
      <c r="AA256" s="193"/>
      <c r="AB256" s="3"/>
      <c r="AC256" s="73"/>
    </row>
    <row r="257" spans="1:29" x14ac:dyDescent="0.25">
      <c r="A257" s="71"/>
      <c r="B257" s="3"/>
      <c r="C257" s="3" t="s">
        <v>429</v>
      </c>
      <c r="D257" s="3"/>
      <c r="E257" s="3"/>
      <c r="F257" s="3"/>
      <c r="G257" s="3" t="str">
        <f>+G251</f>
        <v>Year of Deposit or Withdraw</v>
      </c>
      <c r="H257" s="72">
        <f>+H251</f>
        <v>1</v>
      </c>
      <c r="I257" s="72">
        <f t="shared" ref="I257:W257" si="87">+I251</f>
        <v>2</v>
      </c>
      <c r="J257" s="72">
        <f t="shared" si="87"/>
        <v>3</v>
      </c>
      <c r="K257" s="72">
        <f t="shared" si="87"/>
        <v>4</v>
      </c>
      <c r="L257" s="72">
        <f t="shared" si="87"/>
        <v>5</v>
      </c>
      <c r="M257" s="72">
        <f t="shared" si="87"/>
        <v>6</v>
      </c>
      <c r="N257" s="72">
        <f t="shared" si="87"/>
        <v>7</v>
      </c>
      <c r="O257" s="72">
        <f t="shared" si="87"/>
        <v>8</v>
      </c>
      <c r="P257" s="72">
        <f t="shared" si="87"/>
        <v>9</v>
      </c>
      <c r="Q257" s="72">
        <f t="shared" si="87"/>
        <v>10</v>
      </c>
      <c r="R257" s="72">
        <f t="shared" si="87"/>
        <v>11</v>
      </c>
      <c r="S257" s="72">
        <f t="shared" si="87"/>
        <v>12</v>
      </c>
      <c r="T257" s="72">
        <f t="shared" si="87"/>
        <v>13</v>
      </c>
      <c r="U257" s="72">
        <f t="shared" si="87"/>
        <v>14</v>
      </c>
      <c r="V257" s="72">
        <f t="shared" si="87"/>
        <v>15</v>
      </c>
      <c r="W257" s="72">
        <f t="shared" si="87"/>
        <v>16</v>
      </c>
      <c r="X257" s="72">
        <f t="shared" ref="X257:AA257" si="88">+X251</f>
        <v>17</v>
      </c>
      <c r="Y257" s="72">
        <f t="shared" si="88"/>
        <v>18</v>
      </c>
      <c r="Z257" s="72">
        <f t="shared" si="88"/>
        <v>19</v>
      </c>
      <c r="AA257" s="72">
        <f t="shared" si="88"/>
        <v>20</v>
      </c>
      <c r="AB257" s="3"/>
      <c r="AC257" s="73"/>
    </row>
    <row r="258" spans="1:29" x14ac:dyDescent="0.25">
      <c r="A258" s="71"/>
      <c r="B258" s="3"/>
      <c r="C258" s="3" t="s">
        <v>429</v>
      </c>
      <c r="D258" s="3"/>
      <c r="E258" s="3"/>
      <c r="F258" s="3"/>
      <c r="G258" s="3" t="str">
        <f>+G252</f>
        <v>Ending RfR Balance</v>
      </c>
      <c r="H258" s="89">
        <f t="shared" ref="H258:AA258" ca="1" si="89">+H79</f>
        <v>221800</v>
      </c>
      <c r="I258" s="89">
        <f t="shared" ca="1" si="89"/>
        <v>230232</v>
      </c>
      <c r="J258" s="89">
        <f t="shared" ca="1" si="89"/>
        <v>177387.4</v>
      </c>
      <c r="K258" s="89">
        <f t="shared" ca="1" si="89"/>
        <v>152218.12939999998</v>
      </c>
      <c r="L258" s="89">
        <f t="shared" ca="1" si="89"/>
        <v>124372.55810899998</v>
      </c>
      <c r="M258" s="89">
        <f t="shared" ca="1" si="89"/>
        <v>99256.946383994975</v>
      </c>
      <c r="N258" s="89">
        <f t="shared" ca="1" si="89"/>
        <v>102677.81648118209</v>
      </c>
      <c r="O258" s="89">
        <f t="shared" ca="1" si="89"/>
        <v>82734.959947855561</v>
      </c>
      <c r="P258" s="89">
        <f t="shared" ca="1" si="89"/>
        <v>76929.840090918253</v>
      </c>
      <c r="Q258" s="89">
        <f t="shared" ca="1" si="89"/>
        <v>71501.620551003783</v>
      </c>
      <c r="R258" s="89">
        <f t="shared" ca="1" si="89"/>
        <v>-36982.765624834967</v>
      </c>
      <c r="S258" s="89">
        <f t="shared" ca="1" si="89"/>
        <v>-141039.95431862085</v>
      </c>
      <c r="T258" s="89">
        <f t="shared" ca="1" si="89"/>
        <v>-171835.76678628245</v>
      </c>
      <c r="U258" s="89">
        <f t="shared" ca="1" si="89"/>
        <v>-215984.35550329729</v>
      </c>
      <c r="V258" s="89">
        <f t="shared" ca="1" si="89"/>
        <v>-307888.67599465244</v>
      </c>
      <c r="W258" s="89">
        <f t="shared" ca="1" si="89"/>
        <v>-295095.48289583466</v>
      </c>
      <c r="X258" s="89">
        <f t="shared" ca="1" si="89"/>
        <v>-267914.32593504054</v>
      </c>
      <c r="Y258" s="89">
        <f t="shared" ca="1" si="89"/>
        <v>-284015.5458350305</v>
      </c>
      <c r="Z258" s="89">
        <f t="shared" ca="1" si="89"/>
        <v>-292605.2701330203</v>
      </c>
      <c r="AA258" s="89">
        <f t="shared" ca="1" si="89"/>
        <v>-560246.4089169699</v>
      </c>
      <c r="AB258" s="3"/>
      <c r="AC258" s="73"/>
    </row>
    <row r="259" spans="1:29" x14ac:dyDescent="0.25">
      <c r="A259" s="71"/>
      <c r="B259" s="3"/>
      <c r="C259" s="3" t="s">
        <v>429</v>
      </c>
      <c r="D259" s="3"/>
      <c r="E259" s="3"/>
      <c r="F259" s="3"/>
      <c r="G259" s="3" t="s">
        <v>438</v>
      </c>
      <c r="H259" s="193">
        <f ca="1">+IF(H254&lt;0,-H254,0)</f>
        <v>0</v>
      </c>
      <c r="I259" s="193">
        <f t="shared" ref="I259:W259" ca="1" si="90">+IF(I254&lt;0,-I254,0)</f>
        <v>0</v>
      </c>
      <c r="J259" s="193">
        <f t="shared" ca="1" si="90"/>
        <v>0</v>
      </c>
      <c r="K259" s="193">
        <f t="shared" ca="1" si="90"/>
        <v>0</v>
      </c>
      <c r="L259" s="193">
        <f t="shared" ca="1" si="90"/>
        <v>0</v>
      </c>
      <c r="M259" s="193">
        <f t="shared" ca="1" si="90"/>
        <v>0</v>
      </c>
      <c r="N259" s="193">
        <f t="shared" ca="1" si="90"/>
        <v>0</v>
      </c>
      <c r="O259" s="193">
        <f t="shared" ca="1" si="90"/>
        <v>0</v>
      </c>
      <c r="P259" s="193">
        <f t="shared" ca="1" si="90"/>
        <v>0</v>
      </c>
      <c r="Q259" s="193">
        <f t="shared" ca="1" si="90"/>
        <v>0</v>
      </c>
      <c r="R259" s="193">
        <f t="shared" ca="1" si="90"/>
        <v>98116.554781992047</v>
      </c>
      <c r="S259" s="193">
        <f t="shared" ca="1" si="90"/>
        <v>203396.41925892106</v>
      </c>
      <c r="T259" s="193">
        <f t="shared" ca="1" si="90"/>
        <v>235439.36102538867</v>
      </c>
      <c r="U259" s="193">
        <f t="shared" ca="1" si="90"/>
        <v>280860.02162718563</v>
      </c>
      <c r="V259" s="193">
        <f t="shared" ca="1" si="90"/>
        <v>374061.85544101853</v>
      </c>
      <c r="W259" s="193">
        <f t="shared" ca="1" si="90"/>
        <v>362592.1259311281</v>
      </c>
      <c r="X259" s="193">
        <f t="shared" ref="X259:AA259" ca="1" si="91">+IF(X254&lt;0,-X254,0)</f>
        <v>336760.90183103987</v>
      </c>
      <c r="Y259" s="193">
        <f t="shared" ca="1" si="91"/>
        <v>354239.05324894981</v>
      </c>
      <c r="Z259" s="193">
        <f t="shared" ca="1" si="91"/>
        <v>364233.24769521796</v>
      </c>
      <c r="AA259" s="193">
        <f t="shared" ca="1" si="91"/>
        <v>633306.94603041152</v>
      </c>
      <c r="AB259" s="3"/>
      <c r="AC259" s="73"/>
    </row>
    <row r="260" spans="1:29" x14ac:dyDescent="0.25">
      <c r="A260" s="71"/>
      <c r="B260" s="3"/>
      <c r="C260" s="3" t="s">
        <v>429</v>
      </c>
      <c r="D260" s="3"/>
      <c r="E260" s="3"/>
      <c r="F260" s="3"/>
      <c r="G260" s="3" t="s">
        <v>439</v>
      </c>
      <c r="H260" s="193">
        <f>+H117</f>
        <v>90819.301488003985</v>
      </c>
      <c r="I260" s="193">
        <f t="shared" ref="I260:AA260" si="92">+I117</f>
        <v>184775.03568828909</v>
      </c>
      <c r="J260" s="193">
        <f t="shared" si="92"/>
        <v>281975.5188948313</v>
      </c>
      <c r="K260" s="193">
        <f t="shared" si="92"/>
        <v>382532.8080906684</v>
      </c>
      <c r="L260" s="193">
        <f t="shared" si="92"/>
        <v>486562.83013210888</v>
      </c>
      <c r="M260" s="193">
        <f t="shared" si="92"/>
        <v>594185.51539429871</v>
      </c>
      <c r="N260" s="193">
        <f t="shared" si="92"/>
        <v>705524.93603222212</v>
      </c>
      <c r="O260" s="193">
        <f t="shared" si="92"/>
        <v>820709.44901652646</v>
      </c>
      <c r="P260" s="193">
        <f t="shared" si="92"/>
        <v>939871.8441090727</v>
      </c>
      <c r="Q260" s="193">
        <f t="shared" si="92"/>
        <v>1063149.4969487994</v>
      </c>
      <c r="R260" s="193">
        <f t="shared" si="92"/>
        <v>1190684.5274243893</v>
      </c>
      <c r="S260" s="193">
        <f t="shared" si="92"/>
        <v>1322623.9635163143</v>
      </c>
      <c r="T260" s="193">
        <f t="shared" si="92"/>
        <v>1459119.9107971443</v>
      </c>
      <c r="U260" s="193">
        <f t="shared" si="92"/>
        <v>1600329.7277855272</v>
      </c>
      <c r="V260" s="193">
        <f t="shared" si="92"/>
        <v>1746416.207355995</v>
      </c>
      <c r="W260" s="193">
        <f t="shared" si="92"/>
        <v>1897547.764413733</v>
      </c>
      <c r="X260" s="193">
        <f t="shared" si="92"/>
        <v>2053898.6300506773</v>
      </c>
      <c r="Y260" s="193">
        <f t="shared" si="92"/>
        <v>2215649.0524067618</v>
      </c>
      <c r="Z260" s="193">
        <f t="shared" si="92"/>
        <v>2382985.5044678864</v>
      </c>
      <c r="AA260" s="193">
        <f t="shared" si="92"/>
        <v>2556100.8990401556</v>
      </c>
      <c r="AB260" s="3"/>
      <c r="AC260" s="73"/>
    </row>
    <row r="261" spans="1:29" x14ac:dyDescent="0.25">
      <c r="A261" s="71"/>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73"/>
    </row>
    <row r="262" spans="1:29" x14ac:dyDescent="0.25">
      <c r="A262" s="77"/>
      <c r="B262" s="78"/>
      <c r="C262" s="78"/>
      <c r="D262" s="78"/>
      <c r="E262" s="78"/>
      <c r="F262" s="78"/>
      <c r="G262" s="78"/>
      <c r="H262" s="78"/>
      <c r="I262" s="78"/>
      <c r="J262" s="78"/>
      <c r="K262" s="78"/>
      <c r="L262" s="78"/>
      <c r="M262" s="78"/>
      <c r="N262" s="78"/>
      <c r="O262" s="78"/>
      <c r="P262" s="78"/>
      <c r="Q262" s="78"/>
      <c r="R262" s="78"/>
      <c r="S262" s="78"/>
      <c r="T262" s="78"/>
      <c r="U262" s="78"/>
      <c r="V262" s="78"/>
      <c r="W262" s="78"/>
      <c r="X262" s="78"/>
      <c r="Y262" s="78"/>
      <c r="Z262" s="78"/>
      <c r="AA262" s="78"/>
      <c r="AB262" s="78"/>
      <c r="AC262" s="79"/>
    </row>
  </sheetData>
  <sheetProtection algorithmName="SHA-512" hashValue="eBhhdl2VB+NmSjbmPqEKPZi7U3Hi3dAI7G2oTpdd9AJoJHrW5icuzPXfgtc5qm+uH9CW/BN25rG1J2uNQf/FHw==" saltValue="z2/9k4A0MoHEsbdrmXL0JA==" spinCount="100000" sheet="1" objects="1" scenarios="1"/>
  <mergeCells count="11">
    <mergeCell ref="E31:G32"/>
    <mergeCell ref="I34:J37"/>
    <mergeCell ref="C55:G55"/>
    <mergeCell ref="D102:F102"/>
    <mergeCell ref="D101:F101"/>
    <mergeCell ref="D116:F116"/>
    <mergeCell ref="D115:F115"/>
    <mergeCell ref="D92:F92"/>
    <mergeCell ref="D93:F93"/>
    <mergeCell ref="C56:G56"/>
    <mergeCell ref="C108:C109"/>
  </mergeCells>
  <conditionalFormatting sqref="H30">
    <cfRule type="cellIs" dxfId="14" priority="4" operator="equal">
      <formula>"REQUIREMENTS MET"</formula>
    </cfRule>
    <cfRule type="cellIs" dxfId="13" priority="5" operator="equal">
      <formula>"REQUIREMENTS MET"</formula>
    </cfRule>
    <cfRule type="cellIs" dxfId="12" priority="15" operator="equal">
      <formula>"violation exists"</formula>
    </cfRule>
  </conditionalFormatting>
  <conditionalFormatting sqref="D120">
    <cfRule type="cellIs" dxfId="11" priority="12" operator="equal">
      <formula>"YES"</formula>
    </cfRule>
    <cfRule type="cellIs" dxfId="10" priority="13" operator="equal">
      <formula>"NO"</formula>
    </cfRule>
    <cfRule type="cellIs" dxfId="9" priority="14" operator="equal">
      <formula>"NO"</formula>
    </cfRule>
  </conditionalFormatting>
  <conditionalFormatting sqref="D107">
    <cfRule type="cellIs" dxfId="8" priority="9" operator="equal">
      <formula>"YES"</formula>
    </cfRule>
    <cfRule type="cellIs" dxfId="7" priority="10" operator="equal">
      <formula>"NO"</formula>
    </cfRule>
    <cfRule type="cellIs" dxfId="6" priority="11" operator="equal">
      <formula>"NO"</formula>
    </cfRule>
  </conditionalFormatting>
  <conditionalFormatting sqref="D106">
    <cfRule type="cellIs" dxfId="5" priority="6" operator="equal">
      <formula>"YES"</formula>
    </cfRule>
    <cfRule type="cellIs" dxfId="4" priority="7" operator="equal">
      <formula>"NO"</formula>
    </cfRule>
    <cfRule type="cellIs" dxfId="3" priority="8" operator="equal">
      <formula>"NO"</formula>
    </cfRule>
  </conditionalFormatting>
  <conditionalFormatting sqref="D109:D110">
    <cfRule type="cellIs" dxfId="2" priority="1" operator="equal">
      <formula>"YES"</formula>
    </cfRule>
    <cfRule type="cellIs" dxfId="1" priority="2" operator="equal">
      <formula>"NO"</formula>
    </cfRule>
    <cfRule type="cellIs" dxfId="0" priority="3" operator="equal">
      <formula>"NO"</formula>
    </cfRule>
  </conditionalFormatting>
  <hyperlinks>
    <hyperlink ref="J30" location="Uninflated_Needs_iinput" display="Click to jump to Needs input" xr:uid="{00000000-0004-0000-0500-000000000000}"/>
    <hyperlink ref="K30" location="Graphs" display="Click to jump to see graphs" xr:uid="{00000000-0004-0000-0500-000001000000}"/>
    <hyperlink ref="I30" location="Minimums_Analysis" display="Click to Min. Analysis" xr:uid="{00000000-0004-0000-0500-000002000000}"/>
    <hyperlink ref="C56" location="Factor_input_structuring_results" display="See input, summary and violation status" xr:uid="{00000000-0004-0000-0500-000003000000}"/>
  </hyperlinks>
  <printOptions horizontalCentered="1"/>
  <pageMargins left="0.25" right="0.25" top="0.46" bottom="0.27" header="0.3" footer="0.17"/>
  <pageSetup scale="48" fitToWidth="2" fitToHeight="2" orientation="landscape" r:id="rId1"/>
  <headerFooter>
    <oddHeader>&amp;C&amp;A&amp;R&amp;D
Page &amp;P of &amp;N</oddHeader>
  </headerFooter>
  <colBreaks count="1" manualBreakCount="1">
    <brk id="17" min="1" max="122" man="1"/>
  </col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CB88B-A3DE-48B1-95FA-12C5AC42BF0F}">
  <dimension ref="A1"/>
  <sheetViews>
    <sheetView workbookViewId="0">
      <selection activeCell="F13" sqref="F13"/>
    </sheetView>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B9994-57A3-4EB7-8027-79C0AAD37C80}">
  <sheetPr codeName="Sheet5">
    <tabColor rgb="FF66FFFF"/>
  </sheetPr>
  <dimension ref="A1:Z34"/>
  <sheetViews>
    <sheetView workbookViewId="0">
      <selection activeCell="C22" sqref="C22"/>
    </sheetView>
  </sheetViews>
  <sheetFormatPr defaultRowHeight="15" x14ac:dyDescent="0.25"/>
  <cols>
    <col min="1" max="1" width="7.28515625" style="955" customWidth="1"/>
    <col min="2" max="2" width="32" style="955" customWidth="1"/>
    <col min="3" max="3" width="12.7109375" style="955" customWidth="1"/>
    <col min="4" max="4" width="16.5703125" style="955" customWidth="1"/>
    <col min="5" max="5" width="32.42578125" style="955" customWidth="1"/>
    <col min="6" max="6" width="14.28515625" style="955" customWidth="1"/>
    <col min="7" max="25" width="14.5703125" style="955" bestFit="1" customWidth="1"/>
    <col min="26" max="26" width="12.140625" style="955" bestFit="1" customWidth="1"/>
    <col min="27" max="16384" width="9.140625" style="955"/>
  </cols>
  <sheetData>
    <row r="1" spans="1:26" ht="16.5" thickBot="1" x14ac:dyDescent="0.3">
      <c r="A1" s="946" t="s">
        <v>30</v>
      </c>
      <c r="B1" s="947"/>
      <c r="C1" s="947"/>
      <c r="D1" s="947"/>
      <c r="E1" s="948" t="str">
        <f>IF([1]Exported!A1=0,"No Project Name in data source A1",[1]Exported!A1)</f>
        <v>Sample Project</v>
      </c>
      <c r="F1" s="949">
        <f>IF([1]Exported!A2=0,"No FHA# in data source A2",[1]Exported!A2)</f>
        <v>12345678</v>
      </c>
      <c r="G1" s="950">
        <f>IF([1]Exported!A3=0,"No File Date in data source A3",[1]Exported!A3)</f>
        <v>43073</v>
      </c>
      <c r="H1" s="951">
        <f>IF([1]Exported!A4=0,"No MtgAmt in data source A4",[1]Exported!A4)</f>
        <v>12000000</v>
      </c>
      <c r="I1" s="952">
        <f>IF([1]Exported!A5=0,"No MtgCpn in data source A5",[1]Exported!A5)</f>
        <v>3.4000000000000002E-2</v>
      </c>
      <c r="J1" s="953">
        <f>IF([1]Exported!A6=0,"No MtgTm in data source A6",[1]Exported!A6)</f>
        <v>35</v>
      </c>
      <c r="K1" s="950">
        <f>IF([1]Exported!A7=0,"No AmortBgnDt in data source A7",[1]Exported!A7)</f>
        <v>43191</v>
      </c>
      <c r="L1" s="947"/>
      <c r="M1" s="947"/>
      <c r="N1" s="947"/>
      <c r="O1" s="947"/>
      <c r="P1" s="947"/>
      <c r="Q1" s="947"/>
      <c r="R1" s="947"/>
      <c r="S1" s="947"/>
      <c r="T1" s="947"/>
      <c r="U1" s="947"/>
      <c r="V1" s="947"/>
      <c r="W1" s="947"/>
      <c r="X1" s="947"/>
      <c r="Y1" s="947"/>
      <c r="Z1" s="954"/>
    </row>
    <row r="2" spans="1:26" x14ac:dyDescent="0.25">
      <c r="A2" s="956"/>
      <c r="B2" s="957" t="s">
        <v>31</v>
      </c>
      <c r="C2" s="957"/>
      <c r="D2" s="957"/>
      <c r="E2" s="475" t="str">
        <f>[1]Exported!B1</f>
        <v>Description</v>
      </c>
      <c r="F2" s="476" t="str">
        <f>[1]Exported!C1</f>
        <v>Year 01</v>
      </c>
      <c r="G2" s="476" t="str">
        <f>[1]Exported!D1</f>
        <v>Year 02</v>
      </c>
      <c r="H2" s="476" t="str">
        <f>[1]Exported!E1</f>
        <v>Year 03</v>
      </c>
      <c r="I2" s="476" t="str">
        <f>[1]Exported!F1</f>
        <v>Year 04</v>
      </c>
      <c r="J2" s="476" t="str">
        <f>[1]Exported!G1</f>
        <v>Year 05</v>
      </c>
      <c r="K2" s="476" t="str">
        <f>[1]Exported!H1</f>
        <v>Year 06</v>
      </c>
      <c r="L2" s="476" t="str">
        <f>[1]Exported!I1</f>
        <v>Year 07</v>
      </c>
      <c r="M2" s="476" t="str">
        <f>[1]Exported!J1</f>
        <v>Year 08</v>
      </c>
      <c r="N2" s="476" t="str">
        <f>[1]Exported!K1</f>
        <v>Year 09</v>
      </c>
      <c r="O2" s="476" t="str">
        <f>[1]Exported!L1</f>
        <v>Year 10</v>
      </c>
      <c r="P2" s="476" t="str">
        <f>[1]Exported!M1</f>
        <v>Year 11</v>
      </c>
      <c r="Q2" s="476" t="str">
        <f>[1]Exported!N1</f>
        <v>Year 12</v>
      </c>
      <c r="R2" s="476" t="str">
        <f>[1]Exported!O1</f>
        <v>Year 13</v>
      </c>
      <c r="S2" s="476" t="str">
        <f>[1]Exported!P1</f>
        <v>Year 14</v>
      </c>
      <c r="T2" s="476" t="str">
        <f>[1]Exported!Q1</f>
        <v>Year 15</v>
      </c>
      <c r="U2" s="476" t="str">
        <f>[1]Exported!R1</f>
        <v>Year 16</v>
      </c>
      <c r="V2" s="476" t="str">
        <f>[1]Exported!S1</f>
        <v>Year 17</v>
      </c>
      <c r="W2" s="476" t="str">
        <f>[1]Exported!T1</f>
        <v>Year 18</v>
      </c>
      <c r="X2" s="476" t="str">
        <f>[1]Exported!U1</f>
        <v>Year 19</v>
      </c>
      <c r="Y2" s="477" t="str">
        <f>[1]Exported!V1</f>
        <v>Year 20</v>
      </c>
      <c r="Z2" s="958"/>
    </row>
    <row r="3" spans="1:26" x14ac:dyDescent="0.25">
      <c r="A3" s="956"/>
      <c r="B3" s="957" t="s">
        <v>32</v>
      </c>
      <c r="C3" s="957"/>
      <c r="D3" s="957"/>
      <c r="E3" s="478" t="str">
        <f>[1]Exported!B2</f>
        <v>Calendar Year</v>
      </c>
      <c r="F3" s="479">
        <f>[1]Exported!C2</f>
        <v>2018</v>
      </c>
      <c r="G3" s="479">
        <f>[1]Exported!D2</f>
        <v>2019</v>
      </c>
      <c r="H3" s="479">
        <f>[1]Exported!E2</f>
        <v>2020</v>
      </c>
      <c r="I3" s="479">
        <f>[1]Exported!F2</f>
        <v>2021</v>
      </c>
      <c r="J3" s="479">
        <f>[1]Exported!G2</f>
        <v>2022</v>
      </c>
      <c r="K3" s="479">
        <f>[1]Exported!H2</f>
        <v>2023</v>
      </c>
      <c r="L3" s="479">
        <f>[1]Exported!I2</f>
        <v>2024</v>
      </c>
      <c r="M3" s="479">
        <f>[1]Exported!J2</f>
        <v>2025</v>
      </c>
      <c r="N3" s="479">
        <f>[1]Exported!K2</f>
        <v>2026</v>
      </c>
      <c r="O3" s="479">
        <f>[1]Exported!L2</f>
        <v>2027</v>
      </c>
      <c r="P3" s="479">
        <f>[1]Exported!M2</f>
        <v>2028</v>
      </c>
      <c r="Q3" s="479">
        <f>[1]Exported!N2</f>
        <v>2029</v>
      </c>
      <c r="R3" s="479">
        <f>[1]Exported!O2</f>
        <v>2030</v>
      </c>
      <c r="S3" s="479">
        <f>[1]Exported!P2</f>
        <v>2031</v>
      </c>
      <c r="T3" s="479">
        <f>[1]Exported!Q2</f>
        <v>2032</v>
      </c>
      <c r="U3" s="479">
        <f>[1]Exported!R2</f>
        <v>2033</v>
      </c>
      <c r="V3" s="479">
        <f>[1]Exported!S2</f>
        <v>2034</v>
      </c>
      <c r="W3" s="479">
        <f>[1]Exported!T2</f>
        <v>2035</v>
      </c>
      <c r="X3" s="479">
        <f>[1]Exported!U2</f>
        <v>2036</v>
      </c>
      <c r="Y3" s="480">
        <f>[1]Exported!V2</f>
        <v>2037</v>
      </c>
      <c r="Z3" s="958"/>
    </row>
    <row r="4" spans="1:26" x14ac:dyDescent="0.25">
      <c r="A4" s="956"/>
      <c r="B4" s="957" t="s">
        <v>33</v>
      </c>
      <c r="C4" s="957"/>
      <c r="D4" s="957"/>
      <c r="E4" s="478" t="str">
        <f>[1]Exported!B3</f>
        <v>Beginning Balance</v>
      </c>
      <c r="F4" s="481">
        <f>[1]Exported!C3</f>
        <v>200000</v>
      </c>
      <c r="G4" s="481">
        <f>[1]Exported!D3</f>
        <v>221800</v>
      </c>
      <c r="H4" s="481">
        <f>[1]Exported!E3</f>
        <v>230232</v>
      </c>
      <c r="I4" s="481">
        <f>[1]Exported!F3</f>
        <v>177388</v>
      </c>
      <c r="J4" s="481">
        <f>[1]Exported!G3</f>
        <v>152219</v>
      </c>
      <c r="K4" s="481">
        <f>[1]Exported!H3</f>
        <v>124373</v>
      </c>
      <c r="L4" s="481">
        <f>[1]Exported!I3</f>
        <v>99258</v>
      </c>
      <c r="M4" s="481">
        <f>[1]Exported!J3</f>
        <v>102679</v>
      </c>
      <c r="N4" s="481">
        <f>[1]Exported!K3</f>
        <v>82736</v>
      </c>
      <c r="O4" s="481">
        <f>[1]Exported!L3</f>
        <v>76930</v>
      </c>
      <c r="P4" s="481">
        <f>[1]Exported!M3</f>
        <v>71502</v>
      </c>
      <c r="Q4" s="481">
        <f>[1]Exported!N3</f>
        <v>-36983</v>
      </c>
      <c r="R4" s="481">
        <f>[1]Exported!O3</f>
        <v>-141040</v>
      </c>
      <c r="S4" s="481">
        <f>[1]Exported!P3</f>
        <v>-171836</v>
      </c>
      <c r="T4" s="481">
        <f>[1]Exported!Q3</f>
        <v>-215985</v>
      </c>
      <c r="U4" s="481">
        <f>[1]Exported!R3</f>
        <v>-307889</v>
      </c>
      <c r="V4" s="481">
        <f>[1]Exported!S3</f>
        <v>-295095</v>
      </c>
      <c r="W4" s="481">
        <f>[1]Exported!T3</f>
        <v>-267914</v>
      </c>
      <c r="X4" s="481">
        <f>[1]Exported!U3</f>
        <v>-284016</v>
      </c>
      <c r="Y4" s="482">
        <f>[1]Exported!V3</f>
        <v>-292605</v>
      </c>
      <c r="Z4" s="958"/>
    </row>
    <row r="5" spans="1:26" x14ac:dyDescent="0.25">
      <c r="A5" s="956"/>
      <c r="B5" s="959"/>
      <c r="C5" s="959"/>
      <c r="D5" s="959"/>
      <c r="E5" s="478" t="str">
        <f>[1]Exported!B4</f>
        <v>Interest Income</v>
      </c>
      <c r="F5" s="481">
        <f>[1]Exported!C4</f>
        <v>2000</v>
      </c>
      <c r="G5" s="481">
        <f>[1]Exported!D4</f>
        <v>2218</v>
      </c>
      <c r="H5" s="481">
        <f>[1]Exported!E4</f>
        <v>3453</v>
      </c>
      <c r="I5" s="481">
        <f>[1]Exported!F4</f>
        <v>2661</v>
      </c>
      <c r="J5" s="481">
        <f>[1]Exported!G4</f>
        <v>2283</v>
      </c>
      <c r="K5" s="481">
        <f>[1]Exported!H4</f>
        <v>1866</v>
      </c>
      <c r="L5" s="481">
        <f>[1]Exported!I4</f>
        <v>1489</v>
      </c>
      <c r="M5" s="481">
        <f>[1]Exported!J4</f>
        <v>1540</v>
      </c>
      <c r="N5" s="481">
        <f>[1]Exported!K4</f>
        <v>1241</v>
      </c>
      <c r="O5" s="481">
        <f>[1]Exported!L4</f>
        <v>1154</v>
      </c>
      <c r="P5" s="481">
        <f>[1]Exported!M4</f>
        <v>1073</v>
      </c>
      <c r="Q5" s="481">
        <f>[1]Exported!N4</f>
        <v>0</v>
      </c>
      <c r="R5" s="481">
        <f>[1]Exported!O4</f>
        <v>0</v>
      </c>
      <c r="S5" s="481">
        <f>[1]Exported!P4</f>
        <v>0</v>
      </c>
      <c r="T5" s="481">
        <f>[1]Exported!Q4</f>
        <v>0</v>
      </c>
      <c r="U5" s="481">
        <f>[1]Exported!R4</f>
        <v>0</v>
      </c>
      <c r="V5" s="481">
        <f>[1]Exported!S4</f>
        <v>0</v>
      </c>
      <c r="W5" s="481">
        <f>[1]Exported!T4</f>
        <v>0</v>
      </c>
      <c r="X5" s="481">
        <f>[1]Exported!U4</f>
        <v>0</v>
      </c>
      <c r="Y5" s="482">
        <f>[1]Exported!V4</f>
        <v>0</v>
      </c>
      <c r="Z5" s="958"/>
    </row>
    <row r="6" spans="1:26" x14ac:dyDescent="0.25">
      <c r="A6" s="956"/>
      <c r="B6" s="959" t="s">
        <v>34</v>
      </c>
      <c r="C6" s="959"/>
      <c r="D6" s="959"/>
      <c r="E6" s="478" t="str">
        <f>[1]Exported!B5</f>
        <v>Annual Deposit</v>
      </c>
      <c r="F6" s="481">
        <f>[1]Exported!C5</f>
        <v>19800</v>
      </c>
      <c r="G6" s="481">
        <f>[1]Exported!D5</f>
        <v>20196</v>
      </c>
      <c r="H6" s="481">
        <f>[1]Exported!E5</f>
        <v>20600</v>
      </c>
      <c r="I6" s="481">
        <f>[1]Exported!F5</f>
        <v>21012</v>
      </c>
      <c r="J6" s="481">
        <f>[1]Exported!G5</f>
        <v>21432</v>
      </c>
      <c r="K6" s="481">
        <f>[1]Exported!H5</f>
        <v>21861</v>
      </c>
      <c r="L6" s="481">
        <f>[1]Exported!I5</f>
        <v>22298</v>
      </c>
      <c r="M6" s="481">
        <f>[1]Exported!J5</f>
        <v>22744</v>
      </c>
      <c r="N6" s="481">
        <f>[1]Exported!K5</f>
        <v>23199</v>
      </c>
      <c r="O6" s="481">
        <f>[1]Exported!L5</f>
        <v>23663</v>
      </c>
      <c r="P6" s="481">
        <f>[1]Exported!M5</f>
        <v>24136</v>
      </c>
      <c r="Q6" s="481">
        <f>[1]Exported!N5</f>
        <v>24619</v>
      </c>
      <c r="R6" s="481">
        <f>[1]Exported!O5</f>
        <v>25111</v>
      </c>
      <c r="S6" s="481">
        <f>[1]Exported!P5</f>
        <v>25613</v>
      </c>
      <c r="T6" s="481">
        <f>[1]Exported!Q5</f>
        <v>26126</v>
      </c>
      <c r="U6" s="481">
        <f>[1]Exported!R5</f>
        <v>26648</v>
      </c>
      <c r="V6" s="481">
        <f>[1]Exported!S5</f>
        <v>27181</v>
      </c>
      <c r="W6" s="481">
        <f>[1]Exported!T5</f>
        <v>27725</v>
      </c>
      <c r="X6" s="481">
        <f>[1]Exported!U5</f>
        <v>28279</v>
      </c>
      <c r="Y6" s="482">
        <f>[1]Exported!V5</f>
        <v>28845</v>
      </c>
      <c r="Z6" s="958"/>
    </row>
    <row r="7" spans="1:26" x14ac:dyDescent="0.25">
      <c r="A7" s="956"/>
      <c r="B7" s="960" t="s">
        <v>35</v>
      </c>
      <c r="C7" s="959"/>
      <c r="D7" s="959"/>
      <c r="E7" s="478" t="str">
        <f>[1]Exported!B6</f>
        <v>Inflated Needs (Withdrawal)</v>
      </c>
      <c r="F7" s="481">
        <f>[1]Exported!C6</f>
        <v>0</v>
      </c>
      <c r="G7" s="481">
        <f>[1]Exported!D6</f>
        <v>13982</v>
      </c>
      <c r="H7" s="481">
        <f>[1]Exported!E6</f>
        <v>76898</v>
      </c>
      <c r="I7" s="481">
        <f>[1]Exported!F6</f>
        <v>48842</v>
      </c>
      <c r="J7" s="481">
        <f>[1]Exported!G6</f>
        <v>51561</v>
      </c>
      <c r="K7" s="481">
        <f>[1]Exported!H6</f>
        <v>48842</v>
      </c>
      <c r="L7" s="481">
        <f>[1]Exported!I6</f>
        <v>20366</v>
      </c>
      <c r="M7" s="481">
        <f>[1]Exported!J6</f>
        <v>44227</v>
      </c>
      <c r="N7" s="481">
        <f>[1]Exported!K6</f>
        <v>30245</v>
      </c>
      <c r="O7" s="481">
        <f>[1]Exported!L6</f>
        <v>30245</v>
      </c>
      <c r="P7" s="481">
        <f>[1]Exported!M6</f>
        <v>133693</v>
      </c>
      <c r="Q7" s="481">
        <f>[1]Exported!N6</f>
        <v>128676</v>
      </c>
      <c r="R7" s="481">
        <f>[1]Exported!O6</f>
        <v>55907</v>
      </c>
      <c r="S7" s="481">
        <f>[1]Exported!P6</f>
        <v>69762</v>
      </c>
      <c r="T7" s="481">
        <f>[1]Exported!Q6</f>
        <v>118030</v>
      </c>
      <c r="U7" s="481">
        <f>[1]Exported!R6</f>
        <v>13855</v>
      </c>
      <c r="V7" s="481">
        <f>[1]Exported!S6</f>
        <v>0</v>
      </c>
      <c r="W7" s="481">
        <f>[1]Exported!T6</f>
        <v>43826</v>
      </c>
      <c r="X7" s="481">
        <f>[1]Exported!U6</f>
        <v>36869</v>
      </c>
      <c r="Y7" s="482">
        <f>[1]Exported!V6</f>
        <v>296486</v>
      </c>
      <c r="Z7" s="958"/>
    </row>
    <row r="8" spans="1:26" x14ac:dyDescent="0.25">
      <c r="A8" s="956"/>
      <c r="B8" s="961" t="s">
        <v>36</v>
      </c>
      <c r="C8" s="959"/>
      <c r="D8" s="959"/>
      <c r="E8" s="478" t="str">
        <f>[1]Exported!B7</f>
        <v>Ending Balance</v>
      </c>
      <c r="F8" s="481">
        <f>[1]Exported!C7</f>
        <v>221800</v>
      </c>
      <c r="G8" s="481">
        <f>[1]Exported!D7</f>
        <v>230232</v>
      </c>
      <c r="H8" s="481">
        <f>[1]Exported!E7</f>
        <v>177388</v>
      </c>
      <c r="I8" s="481">
        <f>[1]Exported!F7</f>
        <v>152219</v>
      </c>
      <c r="J8" s="481">
        <f>[1]Exported!G7</f>
        <v>124373</v>
      </c>
      <c r="K8" s="481">
        <f>[1]Exported!H7</f>
        <v>99258</v>
      </c>
      <c r="L8" s="481">
        <f>[1]Exported!I7</f>
        <v>102679</v>
      </c>
      <c r="M8" s="481">
        <f>[1]Exported!J7</f>
        <v>82736</v>
      </c>
      <c r="N8" s="481">
        <f>[1]Exported!K7</f>
        <v>76930</v>
      </c>
      <c r="O8" s="481">
        <f>[1]Exported!L7</f>
        <v>71502</v>
      </c>
      <c r="P8" s="481">
        <f>[1]Exported!M7</f>
        <v>-36983</v>
      </c>
      <c r="Q8" s="481">
        <f>[1]Exported!N7</f>
        <v>-141040</v>
      </c>
      <c r="R8" s="481">
        <f>[1]Exported!O7</f>
        <v>-171836</v>
      </c>
      <c r="S8" s="481">
        <f>[1]Exported!P7</f>
        <v>-215985</v>
      </c>
      <c r="T8" s="481">
        <f>[1]Exported!Q7</f>
        <v>-307889</v>
      </c>
      <c r="U8" s="481">
        <f>[1]Exported!R7</f>
        <v>-295095</v>
      </c>
      <c r="V8" s="481">
        <f>[1]Exported!S7</f>
        <v>-267914</v>
      </c>
      <c r="W8" s="481">
        <f>[1]Exported!T7</f>
        <v>-284016</v>
      </c>
      <c r="X8" s="481">
        <f>[1]Exported!U7</f>
        <v>-292605</v>
      </c>
      <c r="Y8" s="482">
        <f>[1]Exported!V7</f>
        <v>-560246</v>
      </c>
      <c r="Z8" s="962"/>
    </row>
    <row r="9" spans="1:26" x14ac:dyDescent="0.25">
      <c r="A9" s="956"/>
      <c r="B9" s="959"/>
      <c r="C9" s="959"/>
      <c r="D9" s="959"/>
      <c r="E9" s="478" t="str">
        <f>[1]Exported!B8</f>
        <v>Required Minimum Balance</v>
      </c>
      <c r="F9" s="481">
        <f>[1]Exported!C8</f>
        <v>50151</v>
      </c>
      <c r="G9" s="481">
        <f>[1]Exported!D8</f>
        <v>51154</v>
      </c>
      <c r="H9" s="481">
        <f>[1]Exported!E8</f>
        <v>52177</v>
      </c>
      <c r="I9" s="481">
        <f>[1]Exported!F8</f>
        <v>53220</v>
      </c>
      <c r="J9" s="481">
        <f>[1]Exported!G8</f>
        <v>54285</v>
      </c>
      <c r="K9" s="481">
        <f>[1]Exported!H8</f>
        <v>55370</v>
      </c>
      <c r="L9" s="481">
        <f>[1]Exported!I8</f>
        <v>56478</v>
      </c>
      <c r="M9" s="481">
        <f>[1]Exported!J8</f>
        <v>57607</v>
      </c>
      <c r="N9" s="481">
        <f>[1]Exported!K8</f>
        <v>58760</v>
      </c>
      <c r="O9" s="481">
        <f>[1]Exported!L8</f>
        <v>59935</v>
      </c>
      <c r="P9" s="481">
        <f>[1]Exported!M8</f>
        <v>61133</v>
      </c>
      <c r="Q9" s="481">
        <f>[1]Exported!N8</f>
        <v>62356</v>
      </c>
      <c r="R9" s="481">
        <f>[1]Exported!O8</f>
        <v>63603</v>
      </c>
      <c r="S9" s="481">
        <f>[1]Exported!P8</f>
        <v>64875</v>
      </c>
      <c r="T9" s="481">
        <f>[1]Exported!Q8</f>
        <v>66173</v>
      </c>
      <c r="U9" s="481">
        <f>[1]Exported!R8</f>
        <v>67496</v>
      </c>
      <c r="V9" s="481">
        <f>[1]Exported!S8</f>
        <v>68846</v>
      </c>
      <c r="W9" s="481">
        <f>[1]Exported!T8</f>
        <v>70223</v>
      </c>
      <c r="X9" s="481">
        <f>[1]Exported!U8</f>
        <v>71628</v>
      </c>
      <c r="Y9" s="482">
        <f>[1]Exported!V8</f>
        <v>73060</v>
      </c>
      <c r="Z9" s="958"/>
    </row>
    <row r="10" spans="1:26" x14ac:dyDescent="0.25">
      <c r="A10" s="956"/>
      <c r="B10" s="959" t="s">
        <v>37</v>
      </c>
      <c r="C10" s="959"/>
      <c r="D10" s="959"/>
      <c r="E10" s="478" t="str">
        <f>[1]Exported!B9</f>
        <v>Interest Rate on Balance</v>
      </c>
      <c r="F10" s="483">
        <f>[1]Exported!C9</f>
        <v>0.01</v>
      </c>
      <c r="G10" s="483">
        <f>[1]Exported!D9</f>
        <v>0.01</v>
      </c>
      <c r="H10" s="483">
        <f>[1]Exported!E9</f>
        <v>1.4999999999999999E-2</v>
      </c>
      <c r="I10" s="483">
        <f>[1]Exported!F9</f>
        <v>1.4999999999999999E-2</v>
      </c>
      <c r="J10" s="483">
        <f>[1]Exported!G9</f>
        <v>1.4999999999999999E-2</v>
      </c>
      <c r="K10" s="483">
        <f>[1]Exported!H9</f>
        <v>1.4999999999999999E-2</v>
      </c>
      <c r="L10" s="483">
        <f>[1]Exported!I9</f>
        <v>1.4999999999999999E-2</v>
      </c>
      <c r="M10" s="483">
        <f>[1]Exported!J9</f>
        <v>1.4999999999999999E-2</v>
      </c>
      <c r="N10" s="483">
        <f>[1]Exported!K9</f>
        <v>1.4999999999999999E-2</v>
      </c>
      <c r="O10" s="483">
        <f>[1]Exported!L9</f>
        <v>1.4999999999999999E-2</v>
      </c>
      <c r="P10" s="483">
        <f>[1]Exported!M9</f>
        <v>1.4999999999999999E-2</v>
      </c>
      <c r="Q10" s="483">
        <f>[1]Exported!N9</f>
        <v>1.4999999999999999E-2</v>
      </c>
      <c r="R10" s="483">
        <f>[1]Exported!O9</f>
        <v>1.4999999999999999E-2</v>
      </c>
      <c r="S10" s="483">
        <f>[1]Exported!P9</f>
        <v>1.4999999999999999E-2</v>
      </c>
      <c r="T10" s="483">
        <f>[1]Exported!Q9</f>
        <v>1.4999999999999999E-2</v>
      </c>
      <c r="U10" s="483">
        <f>[1]Exported!R9</f>
        <v>1.4999999999999999E-2</v>
      </c>
      <c r="V10" s="483">
        <f>[1]Exported!S9</f>
        <v>1.4999999999999999E-2</v>
      </c>
      <c r="W10" s="483">
        <f>[1]Exported!T9</f>
        <v>1.4999999999999999E-2</v>
      </c>
      <c r="X10" s="483">
        <f>[1]Exported!U9</f>
        <v>1.4999999999999999E-2</v>
      </c>
      <c r="Y10" s="484">
        <f>[1]Exported!V9</f>
        <v>1.4999999999999999E-2</v>
      </c>
      <c r="Z10" s="958"/>
    </row>
    <row r="11" spans="1:26" x14ac:dyDescent="0.25">
      <c r="A11" s="956"/>
      <c r="B11" s="960" t="s">
        <v>38</v>
      </c>
      <c r="C11" s="959"/>
      <c r="D11" s="959"/>
      <c r="E11" s="478" t="str">
        <f>[1]Exported!B10</f>
        <v>Inflation Rate on Deposit</v>
      </c>
      <c r="F11" s="483">
        <f>[1]Exported!C10</f>
        <v>0</v>
      </c>
      <c r="G11" s="483">
        <f>[1]Exported!D10</f>
        <v>0.02</v>
      </c>
      <c r="H11" s="483">
        <f>[1]Exported!E10</f>
        <v>0.02</v>
      </c>
      <c r="I11" s="483">
        <f>[1]Exported!F10</f>
        <v>0.02</v>
      </c>
      <c r="J11" s="483">
        <f>[1]Exported!G10</f>
        <v>0.02</v>
      </c>
      <c r="K11" s="483">
        <f>[1]Exported!H10</f>
        <v>0.02</v>
      </c>
      <c r="L11" s="483">
        <f>[1]Exported!I10</f>
        <v>0.02</v>
      </c>
      <c r="M11" s="483">
        <f>[1]Exported!J10</f>
        <v>0.02</v>
      </c>
      <c r="N11" s="483">
        <f>[1]Exported!K10</f>
        <v>0.02</v>
      </c>
      <c r="O11" s="483">
        <f>[1]Exported!L10</f>
        <v>0.02</v>
      </c>
      <c r="P11" s="483">
        <f>[1]Exported!M10</f>
        <v>0.02</v>
      </c>
      <c r="Q11" s="483">
        <f>[1]Exported!N10</f>
        <v>0.02</v>
      </c>
      <c r="R11" s="483">
        <f>[1]Exported!O10</f>
        <v>0.02</v>
      </c>
      <c r="S11" s="483">
        <f>[1]Exported!P10</f>
        <v>0.02</v>
      </c>
      <c r="T11" s="483">
        <f>[1]Exported!Q10</f>
        <v>0.02</v>
      </c>
      <c r="U11" s="483">
        <f>[1]Exported!R10</f>
        <v>0.02</v>
      </c>
      <c r="V11" s="483">
        <f>[1]Exported!S10</f>
        <v>0.02</v>
      </c>
      <c r="W11" s="483">
        <f>[1]Exported!T10</f>
        <v>0.02</v>
      </c>
      <c r="X11" s="483">
        <f>[1]Exported!U10</f>
        <v>0.02</v>
      </c>
      <c r="Y11" s="484">
        <f>[1]Exported!V10</f>
        <v>0.02</v>
      </c>
      <c r="Z11" s="958"/>
    </row>
    <row r="12" spans="1:26" x14ac:dyDescent="0.25">
      <c r="A12" s="956"/>
      <c r="B12" s="960" t="s">
        <v>39</v>
      </c>
      <c r="C12" s="959"/>
      <c r="D12" s="959"/>
      <c r="E12" s="478" t="str">
        <f>[1]Exported!B11</f>
        <v>Inflation Rate on Capital Needs</v>
      </c>
      <c r="F12" s="483">
        <f>[1]Exported!C11</f>
        <v>0</v>
      </c>
      <c r="G12" s="483">
        <f>[1]Exported!D11</f>
        <v>0.02</v>
      </c>
      <c r="H12" s="483">
        <f>[1]Exported!E11</f>
        <v>0.02</v>
      </c>
      <c r="I12" s="483">
        <f>[1]Exported!F11</f>
        <v>0.02</v>
      </c>
      <c r="J12" s="483">
        <f>[1]Exported!G11</f>
        <v>0.02</v>
      </c>
      <c r="K12" s="483">
        <f>[1]Exported!H11</f>
        <v>0.02</v>
      </c>
      <c r="L12" s="483">
        <f>[1]Exported!I11</f>
        <v>0.02</v>
      </c>
      <c r="M12" s="483">
        <f>[1]Exported!J11</f>
        <v>0.02</v>
      </c>
      <c r="N12" s="483">
        <f>[1]Exported!K11</f>
        <v>0.02</v>
      </c>
      <c r="O12" s="483">
        <f>[1]Exported!L11</f>
        <v>0.02</v>
      </c>
      <c r="P12" s="483">
        <f>[1]Exported!M11</f>
        <v>0.02</v>
      </c>
      <c r="Q12" s="483">
        <f>[1]Exported!N11</f>
        <v>0.02</v>
      </c>
      <c r="R12" s="483">
        <f>[1]Exported!O11</f>
        <v>0.02</v>
      </c>
      <c r="S12" s="483">
        <f>[1]Exported!P11</f>
        <v>0.02</v>
      </c>
      <c r="T12" s="483">
        <f>[1]Exported!Q11</f>
        <v>0.02</v>
      </c>
      <c r="U12" s="483">
        <f>[1]Exported!R11</f>
        <v>0.02</v>
      </c>
      <c r="V12" s="483">
        <f>[1]Exported!S11</f>
        <v>0.02</v>
      </c>
      <c r="W12" s="483">
        <f>[1]Exported!T11</f>
        <v>0.02</v>
      </c>
      <c r="X12" s="483">
        <f>[1]Exported!U11</f>
        <v>0.02</v>
      </c>
      <c r="Y12" s="484">
        <f>[1]Exported!V11</f>
        <v>0.02</v>
      </c>
      <c r="Z12" s="958"/>
    </row>
    <row r="13" spans="1:26" x14ac:dyDescent="0.25">
      <c r="A13" s="956"/>
      <c r="B13" s="960" t="s">
        <v>40</v>
      </c>
      <c r="C13" s="959"/>
      <c r="D13" s="959"/>
      <c r="E13" s="478" t="str">
        <f>[1]Exported!B12</f>
        <v>RFRR Deposit / Unit / Year</v>
      </c>
      <c r="F13" s="481">
        <f>[1]Exported!C12</f>
        <v>330</v>
      </c>
      <c r="G13" s="481">
        <f>[1]Exported!D12</f>
        <v>337</v>
      </c>
      <c r="H13" s="481">
        <f>[1]Exported!E12</f>
        <v>343</v>
      </c>
      <c r="I13" s="481">
        <f>[1]Exported!F12</f>
        <v>350</v>
      </c>
      <c r="J13" s="481">
        <f>[1]Exported!G12</f>
        <v>357</v>
      </c>
      <c r="K13" s="481">
        <f>[1]Exported!H12</f>
        <v>364</v>
      </c>
      <c r="L13" s="481">
        <f>[1]Exported!I12</f>
        <v>372</v>
      </c>
      <c r="M13" s="481">
        <f>[1]Exported!J12</f>
        <v>379</v>
      </c>
      <c r="N13" s="481">
        <f>[1]Exported!K12</f>
        <v>387</v>
      </c>
      <c r="O13" s="481">
        <f>[1]Exported!L12</f>
        <v>394</v>
      </c>
      <c r="P13" s="481">
        <f>[1]Exported!M12</f>
        <v>402</v>
      </c>
      <c r="Q13" s="481">
        <f>[1]Exported!N12</f>
        <v>410</v>
      </c>
      <c r="R13" s="481">
        <f>[1]Exported!O12</f>
        <v>419</v>
      </c>
      <c r="S13" s="481">
        <f>[1]Exported!P12</f>
        <v>427</v>
      </c>
      <c r="T13" s="481">
        <f>[1]Exported!Q12</f>
        <v>435</v>
      </c>
      <c r="U13" s="481">
        <f>[1]Exported!R12</f>
        <v>444</v>
      </c>
      <c r="V13" s="481">
        <f>[1]Exported!S12</f>
        <v>453</v>
      </c>
      <c r="W13" s="481">
        <f>[1]Exported!T12</f>
        <v>462</v>
      </c>
      <c r="X13" s="481">
        <f>[1]Exported!U12</f>
        <v>471</v>
      </c>
      <c r="Y13" s="482">
        <f>[1]Exported!V12</f>
        <v>481</v>
      </c>
      <c r="Z13" s="958"/>
    </row>
    <row r="14" spans="1:26" ht="15.75" thickBot="1" x14ac:dyDescent="0.3">
      <c r="A14" s="956"/>
      <c r="B14" s="960" t="s">
        <v>41</v>
      </c>
      <c r="C14" s="959"/>
      <c r="D14" s="959"/>
      <c r="E14" s="485" t="str">
        <f>[1]Exported!B13</f>
        <v>Inflated Needs / Unit / Year</v>
      </c>
      <c r="F14" s="486">
        <f>[1]Exported!C13</f>
        <v>0</v>
      </c>
      <c r="G14" s="486">
        <f>[1]Exported!D13</f>
        <v>233</v>
      </c>
      <c r="H14" s="486">
        <f>[1]Exported!E13</f>
        <v>1282</v>
      </c>
      <c r="I14" s="486">
        <f>[1]Exported!F13</f>
        <v>814</v>
      </c>
      <c r="J14" s="486">
        <f>[1]Exported!G13</f>
        <v>859</v>
      </c>
      <c r="K14" s="486">
        <f>[1]Exported!H13</f>
        <v>814</v>
      </c>
      <c r="L14" s="486">
        <f>[1]Exported!I13</f>
        <v>339</v>
      </c>
      <c r="M14" s="486">
        <f>[1]Exported!J13</f>
        <v>737</v>
      </c>
      <c r="N14" s="486">
        <f>[1]Exported!K13</f>
        <v>504</v>
      </c>
      <c r="O14" s="486">
        <f>[1]Exported!L13</f>
        <v>504</v>
      </c>
      <c r="P14" s="486">
        <f>[1]Exported!M13</f>
        <v>2228</v>
      </c>
      <c r="Q14" s="486">
        <f>[1]Exported!N13</f>
        <v>2145</v>
      </c>
      <c r="R14" s="486">
        <f>[1]Exported!O13</f>
        <v>932</v>
      </c>
      <c r="S14" s="486">
        <f>[1]Exported!P13</f>
        <v>1163</v>
      </c>
      <c r="T14" s="486">
        <f>[1]Exported!Q13</f>
        <v>1967</v>
      </c>
      <c r="U14" s="486">
        <f>[1]Exported!R13</f>
        <v>231</v>
      </c>
      <c r="V14" s="486">
        <f>[1]Exported!S13</f>
        <v>0</v>
      </c>
      <c r="W14" s="486">
        <f>[1]Exported!T13</f>
        <v>730</v>
      </c>
      <c r="X14" s="486">
        <f>[1]Exported!U13</f>
        <v>614</v>
      </c>
      <c r="Y14" s="487">
        <f>[1]Exported!V13</f>
        <v>4941</v>
      </c>
      <c r="Z14" s="958"/>
    </row>
    <row r="15" spans="1:26" x14ac:dyDescent="0.25">
      <c r="A15" s="956"/>
      <c r="B15" s="963" t="s">
        <v>42</v>
      </c>
      <c r="C15" s="959"/>
      <c r="D15" s="959"/>
      <c r="E15" s="961"/>
      <c r="F15" s="964"/>
      <c r="G15" s="965"/>
      <c r="H15" s="965"/>
      <c r="I15" s="965"/>
      <c r="J15" s="965"/>
      <c r="K15" s="965"/>
      <c r="L15" s="965"/>
      <c r="M15" s="965"/>
      <c r="N15" s="965"/>
      <c r="O15" s="965"/>
      <c r="P15" s="965"/>
      <c r="Q15" s="965"/>
      <c r="R15" s="965"/>
      <c r="S15" s="965"/>
      <c r="T15" s="965"/>
      <c r="U15" s="965"/>
      <c r="V15" s="965"/>
      <c r="W15" s="965"/>
      <c r="X15" s="965"/>
      <c r="Y15" s="965"/>
      <c r="Z15" s="958"/>
    </row>
    <row r="16" spans="1:26" x14ac:dyDescent="0.25">
      <c r="A16" s="956"/>
      <c r="B16" s="966" t="s">
        <v>43</v>
      </c>
      <c r="C16" s="959"/>
      <c r="D16" s="959"/>
      <c r="E16" s="961"/>
      <c r="F16" s="967"/>
      <c r="G16" s="965"/>
      <c r="H16" s="965"/>
      <c r="I16" s="965"/>
      <c r="J16" s="965"/>
      <c r="K16" s="965"/>
      <c r="L16" s="965"/>
      <c r="M16" s="965"/>
      <c r="N16" s="965"/>
      <c r="O16" s="965"/>
      <c r="P16" s="965"/>
      <c r="Q16" s="965"/>
      <c r="R16" s="965"/>
      <c r="S16" s="965"/>
      <c r="T16" s="965"/>
      <c r="U16" s="965"/>
      <c r="V16" s="965"/>
      <c r="W16" s="965"/>
      <c r="X16" s="965"/>
      <c r="Y16" s="965"/>
      <c r="Z16" s="958"/>
    </row>
    <row r="17" spans="1:26" x14ac:dyDescent="0.25">
      <c r="A17" s="956"/>
      <c r="B17" s="966" t="s">
        <v>44</v>
      </c>
      <c r="C17" s="959"/>
      <c r="D17" s="959"/>
      <c r="E17" s="961"/>
      <c r="F17" s="965"/>
      <c r="G17" s="965"/>
      <c r="H17" s="965"/>
      <c r="I17" s="965"/>
      <c r="J17" s="965"/>
      <c r="K17" s="965"/>
      <c r="L17" s="965"/>
      <c r="M17" s="965"/>
      <c r="N17" s="965"/>
      <c r="O17" s="965"/>
      <c r="P17" s="965"/>
      <c r="Q17" s="965"/>
      <c r="R17" s="965"/>
      <c r="S17" s="965"/>
      <c r="T17" s="965"/>
      <c r="U17" s="965"/>
      <c r="V17" s="965"/>
      <c r="W17" s="965"/>
      <c r="X17" s="965"/>
      <c r="Y17" s="965"/>
      <c r="Z17" s="958"/>
    </row>
    <row r="18" spans="1:26" ht="15.75" thickBot="1" x14ac:dyDescent="0.3">
      <c r="A18" s="968"/>
      <c r="B18" s="969"/>
      <c r="C18" s="969"/>
      <c r="D18" s="969"/>
      <c r="E18" s="970"/>
      <c r="F18" s="971"/>
      <c r="G18" s="971"/>
      <c r="H18" s="971"/>
      <c r="I18" s="971"/>
      <c r="J18" s="971"/>
      <c r="K18" s="971"/>
      <c r="L18" s="971"/>
      <c r="M18" s="971"/>
      <c r="N18" s="971"/>
      <c r="O18" s="971"/>
      <c r="P18" s="971"/>
      <c r="Q18" s="971"/>
      <c r="R18" s="971"/>
      <c r="S18" s="971"/>
      <c r="T18" s="971"/>
      <c r="U18" s="971"/>
      <c r="V18" s="971"/>
      <c r="W18" s="971"/>
      <c r="X18" s="971"/>
      <c r="Y18" s="971"/>
      <c r="Z18" s="972"/>
    </row>
    <row r="19" spans="1:26" x14ac:dyDescent="0.25">
      <c r="A19" s="983" t="s">
        <v>103</v>
      </c>
      <c r="B19" s="973"/>
      <c r="C19" s="973"/>
      <c r="D19" s="974"/>
      <c r="E19" s="1015" t="s">
        <v>540</v>
      </c>
      <c r="F19" s="1016"/>
      <c r="G19" s="1016"/>
      <c r="H19" s="1017"/>
      <c r="I19" s="947"/>
      <c r="J19" s="947"/>
      <c r="K19" s="947"/>
      <c r="L19" s="947"/>
      <c r="M19" s="947"/>
      <c r="N19" s="947"/>
      <c r="O19" s="947"/>
      <c r="P19" s="947"/>
      <c r="Q19" s="947"/>
      <c r="R19" s="947"/>
      <c r="S19" s="947"/>
      <c r="T19" s="947"/>
      <c r="U19" s="947"/>
      <c r="V19" s="947"/>
      <c r="W19" s="947"/>
      <c r="X19" s="947"/>
      <c r="Y19" s="947"/>
      <c r="Z19" s="954"/>
    </row>
    <row r="20" spans="1:26" ht="15.75" thickBot="1" x14ac:dyDescent="0.3">
      <c r="A20" s="978" t="s">
        <v>104</v>
      </c>
      <c r="B20" s="982"/>
      <c r="C20" s="977"/>
      <c r="D20" s="975"/>
      <c r="E20" s="1018"/>
      <c r="F20" s="1019"/>
      <c r="G20" s="1019"/>
      <c r="H20" s="1020"/>
      <c r="I20" s="959"/>
      <c r="J20" s="959"/>
      <c r="K20" s="959"/>
      <c r="L20" s="959"/>
      <c r="M20" s="959"/>
      <c r="N20" s="959"/>
      <c r="O20" s="959"/>
      <c r="P20" s="959"/>
      <c r="Q20" s="959"/>
      <c r="R20" s="959"/>
      <c r="S20" s="959"/>
      <c r="T20" s="959"/>
      <c r="U20" s="959"/>
      <c r="V20" s="959"/>
      <c r="W20" s="959"/>
      <c r="X20" s="959"/>
      <c r="Y20" s="959"/>
      <c r="Z20" s="958"/>
    </row>
    <row r="21" spans="1:26" x14ac:dyDescent="0.25">
      <c r="A21" s="956"/>
      <c r="B21" s="959"/>
      <c r="C21" s="959"/>
      <c r="D21" s="959"/>
      <c r="E21" s="979" t="s">
        <v>105</v>
      </c>
      <c r="F21" s="976" t="s">
        <v>106</v>
      </c>
      <c r="G21" s="976" t="s">
        <v>107</v>
      </c>
      <c r="H21" s="980" t="s">
        <v>108</v>
      </c>
      <c r="I21" s="959"/>
      <c r="J21" s="959"/>
      <c r="K21" s="959"/>
      <c r="L21" s="959"/>
      <c r="M21" s="959"/>
      <c r="N21" s="959"/>
      <c r="O21" s="959"/>
      <c r="P21" s="959"/>
      <c r="Q21" s="959"/>
      <c r="R21" s="959"/>
      <c r="S21" s="959"/>
      <c r="T21" s="959"/>
      <c r="U21" s="959"/>
      <c r="V21" s="959"/>
      <c r="W21" s="959"/>
      <c r="X21" s="959"/>
      <c r="Y21" s="959"/>
      <c r="Z21" s="958"/>
    </row>
    <row r="22" spans="1:26" x14ac:dyDescent="0.25">
      <c r="A22" s="956"/>
      <c r="B22" s="959"/>
      <c r="C22" s="959"/>
      <c r="D22" s="959"/>
      <c r="E22" s="979" t="s">
        <v>109</v>
      </c>
      <c r="F22" s="976">
        <v>2018</v>
      </c>
      <c r="G22" s="976">
        <v>2019</v>
      </c>
      <c r="H22" s="980"/>
      <c r="I22" s="959"/>
      <c r="J22" s="959"/>
      <c r="K22" s="959"/>
      <c r="L22" s="959"/>
      <c r="M22" s="959"/>
      <c r="N22" s="959"/>
      <c r="O22" s="959"/>
      <c r="P22" s="959"/>
      <c r="Q22" s="959"/>
      <c r="R22" s="959"/>
      <c r="S22" s="959"/>
      <c r="T22" s="959"/>
      <c r="U22" s="959"/>
      <c r="V22" s="959"/>
      <c r="W22" s="959"/>
      <c r="X22" s="959"/>
      <c r="Y22" s="959"/>
      <c r="Z22" s="958"/>
    </row>
    <row r="23" spans="1:26" x14ac:dyDescent="0.25">
      <c r="A23" s="956"/>
      <c r="B23" s="959"/>
      <c r="C23" s="959"/>
      <c r="D23" s="959"/>
      <c r="E23" s="979" t="s">
        <v>110</v>
      </c>
      <c r="F23" s="984">
        <v>200000</v>
      </c>
      <c r="G23" s="984">
        <v>221800</v>
      </c>
      <c r="H23" s="985"/>
      <c r="I23" s="959"/>
      <c r="J23" s="959"/>
      <c r="K23" s="959"/>
      <c r="L23" s="959"/>
      <c r="M23" s="959"/>
      <c r="N23" s="959"/>
      <c r="O23" s="959"/>
      <c r="P23" s="959"/>
      <c r="Q23" s="959"/>
      <c r="R23" s="959"/>
      <c r="S23" s="959"/>
      <c r="T23" s="959"/>
      <c r="U23" s="959"/>
      <c r="V23" s="959"/>
      <c r="W23" s="959"/>
      <c r="X23" s="959"/>
      <c r="Y23" s="959"/>
      <c r="Z23" s="958"/>
    </row>
    <row r="24" spans="1:26" x14ac:dyDescent="0.25">
      <c r="A24" s="956"/>
      <c r="B24" s="959"/>
      <c r="C24" s="959"/>
      <c r="D24" s="959"/>
      <c r="E24" s="979" t="s">
        <v>111</v>
      </c>
      <c r="F24" s="984">
        <v>2000</v>
      </c>
      <c r="G24" s="984">
        <v>2218</v>
      </c>
      <c r="H24" s="985"/>
      <c r="I24" s="959"/>
      <c r="J24" s="959"/>
      <c r="K24" s="959"/>
      <c r="L24" s="959"/>
      <c r="M24" s="959"/>
      <c r="N24" s="959"/>
      <c r="O24" s="959"/>
      <c r="P24" s="959"/>
      <c r="Q24" s="959"/>
      <c r="R24" s="959"/>
      <c r="S24" s="959"/>
      <c r="T24" s="959"/>
      <c r="U24" s="959"/>
      <c r="V24" s="959"/>
      <c r="W24" s="959"/>
      <c r="X24" s="959"/>
      <c r="Y24" s="959"/>
      <c r="Z24" s="958"/>
    </row>
    <row r="25" spans="1:26" x14ac:dyDescent="0.25">
      <c r="A25" s="956"/>
      <c r="B25" s="959"/>
      <c r="C25" s="959"/>
      <c r="D25" s="959"/>
      <c r="E25" s="979" t="s">
        <v>8</v>
      </c>
      <c r="F25" s="984">
        <v>19800</v>
      </c>
      <c r="G25" s="984">
        <v>20196</v>
      </c>
      <c r="H25" s="985"/>
      <c r="I25" s="959"/>
      <c r="J25" s="959"/>
      <c r="K25" s="959"/>
      <c r="L25" s="959"/>
      <c r="M25" s="959"/>
      <c r="N25" s="959"/>
      <c r="O25" s="959"/>
      <c r="P25" s="959"/>
      <c r="Q25" s="959"/>
      <c r="R25" s="959"/>
      <c r="S25" s="959"/>
      <c r="T25" s="959"/>
      <c r="U25" s="959"/>
      <c r="V25" s="959"/>
      <c r="W25" s="959"/>
      <c r="X25" s="959"/>
      <c r="Y25" s="959"/>
      <c r="Z25" s="958"/>
    </row>
    <row r="26" spans="1:26" x14ac:dyDescent="0.25">
      <c r="A26" s="956"/>
      <c r="B26" s="959"/>
      <c r="C26" s="959"/>
      <c r="D26" s="959"/>
      <c r="E26" s="979" t="s">
        <v>112</v>
      </c>
      <c r="F26" s="984">
        <v>0</v>
      </c>
      <c r="G26" s="984">
        <v>13982</v>
      </c>
      <c r="H26" s="985"/>
      <c r="I26" s="959"/>
      <c r="J26" s="959"/>
      <c r="K26" s="959"/>
      <c r="L26" s="959"/>
      <c r="M26" s="959"/>
      <c r="N26" s="959"/>
      <c r="O26" s="959"/>
      <c r="P26" s="959"/>
      <c r="Q26" s="959"/>
      <c r="R26" s="959"/>
      <c r="S26" s="959"/>
      <c r="T26" s="959"/>
      <c r="U26" s="959"/>
      <c r="V26" s="959"/>
      <c r="W26" s="959"/>
      <c r="X26" s="959"/>
      <c r="Y26" s="959"/>
      <c r="Z26" s="958"/>
    </row>
    <row r="27" spans="1:26" x14ac:dyDescent="0.25">
      <c r="A27" s="956"/>
      <c r="B27" s="959"/>
      <c r="C27" s="959"/>
      <c r="D27" s="959"/>
      <c r="E27" s="979" t="s">
        <v>113</v>
      </c>
      <c r="F27" s="984">
        <v>221800</v>
      </c>
      <c r="G27" s="984">
        <v>230232</v>
      </c>
      <c r="H27" s="985"/>
      <c r="I27" s="959"/>
      <c r="J27" s="959"/>
      <c r="K27" s="959"/>
      <c r="L27" s="959"/>
      <c r="M27" s="959"/>
      <c r="N27" s="959"/>
      <c r="O27" s="959"/>
      <c r="P27" s="959"/>
      <c r="Q27" s="959"/>
      <c r="R27" s="959"/>
      <c r="S27" s="959"/>
      <c r="T27" s="959"/>
      <c r="U27" s="959"/>
      <c r="V27" s="959"/>
      <c r="W27" s="959"/>
      <c r="X27" s="959"/>
      <c r="Y27" s="959"/>
      <c r="Z27" s="958"/>
    </row>
    <row r="28" spans="1:26" x14ac:dyDescent="0.25">
      <c r="A28" s="956"/>
      <c r="B28" s="959"/>
      <c r="C28" s="959"/>
      <c r="D28" s="959"/>
      <c r="E28" s="979" t="s">
        <v>114</v>
      </c>
      <c r="F28" s="984">
        <v>50151</v>
      </c>
      <c r="G28" s="984">
        <v>51154</v>
      </c>
      <c r="H28" s="985"/>
      <c r="I28" s="959"/>
      <c r="J28" s="959"/>
      <c r="K28" s="959"/>
      <c r="L28" s="959"/>
      <c r="M28" s="959"/>
      <c r="N28" s="959"/>
      <c r="O28" s="959"/>
      <c r="P28" s="959"/>
      <c r="Q28" s="959"/>
      <c r="R28" s="959"/>
      <c r="S28" s="959"/>
      <c r="T28" s="959"/>
      <c r="U28" s="959"/>
      <c r="V28" s="959"/>
      <c r="W28" s="959"/>
      <c r="X28" s="959"/>
      <c r="Y28" s="959"/>
      <c r="Z28" s="958"/>
    </row>
    <row r="29" spans="1:26" x14ac:dyDescent="0.25">
      <c r="A29" s="956"/>
      <c r="B29" s="959"/>
      <c r="C29" s="959"/>
      <c r="D29" s="959"/>
      <c r="E29" s="979" t="s">
        <v>115</v>
      </c>
      <c r="F29" s="988">
        <v>0.01</v>
      </c>
      <c r="G29" s="988">
        <v>0.01</v>
      </c>
      <c r="H29" s="989"/>
      <c r="I29" s="959"/>
      <c r="J29" s="959"/>
      <c r="K29" s="959"/>
      <c r="L29" s="959"/>
      <c r="M29" s="959"/>
      <c r="N29" s="959"/>
      <c r="O29" s="959"/>
      <c r="P29" s="959"/>
      <c r="Q29" s="959"/>
      <c r="R29" s="959"/>
      <c r="S29" s="959"/>
      <c r="T29" s="959"/>
      <c r="U29" s="959"/>
      <c r="V29" s="959"/>
      <c r="W29" s="959"/>
      <c r="X29" s="959"/>
      <c r="Y29" s="959"/>
      <c r="Z29" s="958"/>
    </row>
    <row r="30" spans="1:26" x14ac:dyDescent="0.25">
      <c r="A30" s="956"/>
      <c r="B30" s="959"/>
      <c r="C30" s="959"/>
      <c r="D30" s="959"/>
      <c r="E30" s="979" t="s">
        <v>116</v>
      </c>
      <c r="F30" s="988">
        <v>0</v>
      </c>
      <c r="G30" s="988">
        <v>0.02</v>
      </c>
      <c r="H30" s="989"/>
      <c r="I30" s="959"/>
      <c r="J30" s="959"/>
      <c r="K30" s="959"/>
      <c r="L30" s="959"/>
      <c r="M30" s="959"/>
      <c r="N30" s="959"/>
      <c r="O30" s="959"/>
      <c r="P30" s="959"/>
      <c r="Q30" s="959"/>
      <c r="R30" s="959"/>
      <c r="S30" s="959"/>
      <c r="T30" s="959"/>
      <c r="U30" s="959"/>
      <c r="V30" s="959"/>
      <c r="W30" s="959"/>
      <c r="X30" s="959"/>
      <c r="Y30" s="959"/>
      <c r="Z30" s="958"/>
    </row>
    <row r="31" spans="1:26" x14ac:dyDescent="0.25">
      <c r="A31" s="956"/>
      <c r="B31" s="959"/>
      <c r="C31" s="959"/>
      <c r="D31" s="959"/>
      <c r="E31" s="979" t="s">
        <v>117</v>
      </c>
      <c r="F31" s="988">
        <v>0</v>
      </c>
      <c r="G31" s="988">
        <v>0.02</v>
      </c>
      <c r="H31" s="989"/>
      <c r="I31" s="959"/>
      <c r="J31" s="959"/>
      <c r="K31" s="959"/>
      <c r="L31" s="959"/>
      <c r="M31" s="959"/>
      <c r="N31" s="959"/>
      <c r="O31" s="959"/>
      <c r="P31" s="959"/>
      <c r="Q31" s="959"/>
      <c r="R31" s="959"/>
      <c r="S31" s="959"/>
      <c r="T31" s="959"/>
      <c r="U31" s="959"/>
      <c r="V31" s="959"/>
      <c r="W31" s="959"/>
      <c r="X31" s="959"/>
      <c r="Y31" s="959"/>
      <c r="Z31" s="958"/>
    </row>
    <row r="32" spans="1:26" x14ac:dyDescent="0.25">
      <c r="A32" s="956"/>
      <c r="B32" s="959"/>
      <c r="C32" s="959"/>
      <c r="D32" s="959"/>
      <c r="E32" s="979" t="s">
        <v>118</v>
      </c>
      <c r="F32" s="984">
        <v>330</v>
      </c>
      <c r="G32" s="984">
        <v>337</v>
      </c>
      <c r="H32" s="985"/>
      <c r="I32" s="959"/>
      <c r="J32" s="959"/>
      <c r="K32" s="959"/>
      <c r="L32" s="959"/>
      <c r="M32" s="959"/>
      <c r="N32" s="959"/>
      <c r="O32" s="959"/>
      <c r="P32" s="959"/>
      <c r="Q32" s="959"/>
      <c r="R32" s="959"/>
      <c r="S32" s="959"/>
      <c r="T32" s="959"/>
      <c r="U32" s="959"/>
      <c r="V32" s="959"/>
      <c r="W32" s="959"/>
      <c r="X32" s="959"/>
      <c r="Y32" s="959"/>
      <c r="Z32" s="958"/>
    </row>
    <row r="33" spans="1:26" ht="15.75" thickBot="1" x14ac:dyDescent="0.3">
      <c r="A33" s="956"/>
      <c r="B33" s="959"/>
      <c r="C33" s="959"/>
      <c r="D33" s="959"/>
      <c r="E33" s="981" t="s">
        <v>119</v>
      </c>
      <c r="F33" s="986">
        <v>0</v>
      </c>
      <c r="G33" s="986">
        <v>233</v>
      </c>
      <c r="H33" s="987"/>
      <c r="I33" s="959"/>
      <c r="J33" s="959"/>
      <c r="K33" s="959"/>
      <c r="L33" s="959"/>
      <c r="M33" s="959"/>
      <c r="N33" s="959"/>
      <c r="O33" s="959"/>
      <c r="P33" s="959"/>
      <c r="Q33" s="959"/>
      <c r="R33" s="959"/>
      <c r="S33" s="959"/>
      <c r="T33" s="959"/>
      <c r="U33" s="959"/>
      <c r="V33" s="959"/>
      <c r="W33" s="959"/>
      <c r="X33" s="959"/>
      <c r="Y33" s="959"/>
      <c r="Z33" s="958"/>
    </row>
    <row r="34" spans="1:26" ht="15.75" thickBot="1" x14ac:dyDescent="0.3">
      <c r="A34" s="968"/>
      <c r="B34" s="969"/>
      <c r="C34" s="969"/>
      <c r="D34" s="969"/>
      <c r="E34" s="969"/>
      <c r="F34" s="969"/>
      <c r="G34" s="969"/>
      <c r="H34" s="969"/>
      <c r="I34" s="969"/>
      <c r="J34" s="969"/>
      <c r="K34" s="969"/>
      <c r="L34" s="969"/>
      <c r="M34" s="969"/>
      <c r="N34" s="969"/>
      <c r="O34" s="969"/>
      <c r="P34" s="969"/>
      <c r="Q34" s="969"/>
      <c r="R34" s="969"/>
      <c r="S34" s="969"/>
      <c r="T34" s="969"/>
      <c r="U34" s="969"/>
      <c r="V34" s="969"/>
      <c r="W34" s="969"/>
      <c r="X34" s="969"/>
      <c r="Y34" s="969"/>
      <c r="Z34" s="972"/>
    </row>
  </sheetData>
  <mergeCells count="1">
    <mergeCell ref="E19:H20"/>
  </mergeCells>
  <pageMargins left="0.7" right="0.7" top="0.75" bottom="0.75" header="0.3" footer="0.3"/>
  <pageSetup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3DD26-B960-4B66-A3B4-6E18B90BB92E}">
  <sheetPr>
    <tabColor rgb="FF66FFFF"/>
  </sheetPr>
  <dimension ref="A1:W52"/>
  <sheetViews>
    <sheetView zoomScale="80" zoomScaleNormal="80" workbookViewId="0"/>
  </sheetViews>
  <sheetFormatPr defaultRowHeight="15" x14ac:dyDescent="0.25"/>
  <cols>
    <col min="1" max="1" width="2.7109375" customWidth="1"/>
    <col min="2" max="2" width="2.85546875" customWidth="1"/>
    <col min="3" max="3" width="10.28515625" customWidth="1"/>
    <col min="4" max="4" width="27.7109375" customWidth="1"/>
    <col min="5" max="5" width="19" customWidth="1"/>
    <col min="6" max="6" width="17.140625" customWidth="1"/>
    <col min="7" max="7" width="13.28515625" customWidth="1"/>
    <col min="8" max="8" width="19.140625" customWidth="1"/>
    <col min="9" max="9" width="15.5703125" customWidth="1"/>
    <col min="10" max="10" width="7.5703125" style="266" customWidth="1"/>
    <col min="11" max="11" width="17.42578125" customWidth="1"/>
    <col min="12" max="12" width="8.85546875" customWidth="1"/>
    <col min="13" max="13" width="7.7109375" customWidth="1"/>
    <col min="14" max="14" width="9.28515625" customWidth="1"/>
    <col min="15" max="16" width="8.42578125" customWidth="1"/>
    <col min="17" max="17" width="8.5703125" customWidth="1"/>
    <col min="18" max="18" width="9.28515625" customWidth="1"/>
    <col min="19" max="19" width="8.85546875" customWidth="1"/>
    <col min="20" max="20" width="9.5703125" customWidth="1"/>
    <col min="21" max="21" width="11.28515625" customWidth="1"/>
    <col min="22" max="22" width="8.7109375" customWidth="1"/>
    <col min="23" max="23" width="8.28515625" customWidth="1"/>
  </cols>
  <sheetData>
    <row r="1" spans="1:23" ht="15.75" thickBot="1" x14ac:dyDescent="0.3">
      <c r="A1" s="260"/>
      <c r="B1" s="260"/>
      <c r="C1" s="260"/>
      <c r="D1" s="260"/>
      <c r="E1" s="260"/>
      <c r="F1" s="260"/>
      <c r="G1" s="260"/>
      <c r="H1" s="260"/>
      <c r="I1" s="260"/>
      <c r="J1" s="260"/>
      <c r="K1" s="260"/>
      <c r="L1" s="260"/>
      <c r="M1" s="260"/>
      <c r="N1" s="260"/>
      <c r="O1" s="260"/>
      <c r="P1" s="260"/>
      <c r="Q1" s="260"/>
      <c r="R1" s="260"/>
      <c r="S1" s="260"/>
      <c r="T1" s="260"/>
      <c r="U1" s="260"/>
      <c r="V1" s="260"/>
      <c r="W1" s="260"/>
    </row>
    <row r="2" spans="1:23" ht="15.75" thickBot="1" x14ac:dyDescent="0.3">
      <c r="A2" s="260"/>
      <c r="B2" s="260"/>
      <c r="C2" s="364"/>
      <c r="D2" s="202"/>
      <c r="E2" s="202"/>
      <c r="F2" s="202"/>
      <c r="G2" s="202"/>
      <c r="H2" s="202"/>
      <c r="I2" s="203"/>
      <c r="J2" s="260"/>
      <c r="K2" s="260"/>
      <c r="L2" s="260"/>
      <c r="M2" s="260"/>
      <c r="N2" s="260"/>
      <c r="O2" s="260"/>
      <c r="P2" s="260"/>
      <c r="Q2" s="260"/>
      <c r="R2" s="260"/>
      <c r="S2" s="260"/>
      <c r="T2" s="260"/>
      <c r="U2" s="260"/>
      <c r="V2" s="260"/>
      <c r="W2" s="260"/>
    </row>
    <row r="3" spans="1:23" x14ac:dyDescent="0.25">
      <c r="A3" s="260"/>
      <c r="B3" s="260"/>
      <c r="C3" s="205"/>
      <c r="D3" s="1021" t="s">
        <v>5</v>
      </c>
      <c r="E3" s="1022"/>
      <c r="F3" s="1022"/>
      <c r="G3" s="1022"/>
      <c r="H3" s="1023"/>
      <c r="I3" s="204"/>
      <c r="J3" s="260"/>
      <c r="K3" s="260"/>
      <c r="L3" s="260"/>
      <c r="M3" s="260"/>
      <c r="N3" s="260"/>
      <c r="O3" s="260"/>
      <c r="P3" s="260"/>
      <c r="Q3" s="260"/>
      <c r="R3" s="260"/>
      <c r="S3" s="260"/>
      <c r="T3" s="260"/>
      <c r="U3" s="260"/>
      <c r="V3" s="260"/>
      <c r="W3" s="260"/>
    </row>
    <row r="4" spans="1:23" ht="15.75" thickBot="1" x14ac:dyDescent="0.3">
      <c r="A4" s="260"/>
      <c r="B4" s="260"/>
      <c r="C4" s="205"/>
      <c r="D4" s="1024"/>
      <c r="E4" s="1025"/>
      <c r="F4" s="1025"/>
      <c r="G4" s="1025"/>
      <c r="H4" s="1026"/>
      <c r="I4" s="204"/>
      <c r="J4" s="260"/>
      <c r="K4" s="260"/>
      <c r="L4" s="260"/>
      <c r="M4" s="260"/>
      <c r="N4" s="260"/>
      <c r="O4" s="260"/>
      <c r="P4" s="260"/>
      <c r="Q4" s="260"/>
      <c r="R4" s="260"/>
      <c r="S4" s="260"/>
      <c r="T4" s="260"/>
      <c r="U4" s="260"/>
      <c r="V4" s="260"/>
      <c r="W4" s="260"/>
    </row>
    <row r="5" spans="1:23" ht="16.5" thickBot="1" x14ac:dyDescent="0.3">
      <c r="A5" s="260"/>
      <c r="B5" s="260"/>
      <c r="C5" s="205"/>
      <c r="D5" s="362"/>
      <c r="E5" s="362"/>
      <c r="F5" s="362"/>
      <c r="G5" s="362"/>
      <c r="H5" s="362"/>
      <c r="I5" s="204"/>
      <c r="J5" s="260"/>
      <c r="K5" s="260"/>
      <c r="L5" s="260"/>
      <c r="M5" s="260"/>
      <c r="N5" s="260"/>
      <c r="O5" s="260"/>
      <c r="P5" s="260"/>
      <c r="Q5" s="260"/>
      <c r="R5" s="260"/>
      <c r="S5" s="260"/>
      <c r="T5" s="260"/>
      <c r="U5" s="260"/>
      <c r="V5" s="260"/>
      <c r="W5" s="260"/>
    </row>
    <row r="6" spans="1:23" ht="15.75" x14ac:dyDescent="0.25">
      <c r="A6" s="260"/>
      <c r="B6" s="260"/>
      <c r="C6" s="205"/>
      <c r="D6" s="380" t="str">
        <f>+'eTool Data Analysis'!D3</f>
        <v>New Project Apartments</v>
      </c>
      <c r="E6" s="381"/>
      <c r="F6" s="1030" t="s">
        <v>548</v>
      </c>
      <c r="G6" s="1031"/>
      <c r="H6" s="362"/>
      <c r="I6" s="204"/>
      <c r="J6" s="260"/>
      <c r="K6" s="260"/>
      <c r="L6" s="260"/>
      <c r="M6" s="260"/>
      <c r="N6" s="260"/>
      <c r="O6" s="260"/>
      <c r="P6" s="260"/>
      <c r="Q6" s="260"/>
      <c r="R6" s="260"/>
      <c r="S6" s="260"/>
      <c r="T6" s="260"/>
      <c r="U6" s="260"/>
      <c r="V6" s="260"/>
      <c r="W6" s="260"/>
    </row>
    <row r="7" spans="1:23" ht="16.5" thickBot="1" x14ac:dyDescent="0.3">
      <c r="A7" s="260"/>
      <c r="B7" s="260"/>
      <c r="C7" s="205"/>
      <c r="D7" s="382">
        <f>+'eTool Data Analysis'!D4</f>
        <v>12345678</v>
      </c>
      <c r="E7" s="383"/>
      <c r="F7" s="362"/>
      <c r="G7" s="362"/>
      <c r="H7" s="362"/>
      <c r="I7" s="204"/>
      <c r="J7" s="260"/>
      <c r="K7" s="260"/>
      <c r="L7" s="260"/>
      <c r="M7" s="260"/>
      <c r="N7" s="260"/>
      <c r="O7" s="260"/>
      <c r="P7" s="260"/>
      <c r="Q7" s="260"/>
      <c r="R7" s="260"/>
      <c r="S7" s="260"/>
      <c r="T7" s="260"/>
      <c r="U7" s="260"/>
      <c r="V7" s="260"/>
      <c r="W7" s="260"/>
    </row>
    <row r="8" spans="1:23" ht="16.5" thickBot="1" x14ac:dyDescent="0.3">
      <c r="A8" s="260"/>
      <c r="B8" s="260"/>
      <c r="C8" s="205"/>
      <c r="D8" s="362"/>
      <c r="E8" s="363"/>
      <c r="F8" s="363"/>
      <c r="G8" s="363"/>
      <c r="H8" s="990" t="s">
        <v>544</v>
      </c>
      <c r="I8" s="993" t="s">
        <v>545</v>
      </c>
      <c r="J8" s="260"/>
      <c r="K8" s="260"/>
      <c r="L8" s="260"/>
      <c r="M8" s="260"/>
      <c r="N8" s="260"/>
      <c r="O8" s="260"/>
      <c r="P8" s="260"/>
      <c r="Q8" s="260"/>
      <c r="R8" s="260"/>
      <c r="S8" s="260"/>
      <c r="T8" s="260"/>
      <c r="U8" s="260"/>
      <c r="V8" s="260"/>
      <c r="W8" s="260"/>
    </row>
    <row r="9" spans="1:23" ht="33.75" customHeight="1" thickBot="1" x14ac:dyDescent="0.3">
      <c r="A9" s="260"/>
      <c r="B9" s="260"/>
      <c r="C9" s="205"/>
      <c r="D9" s="365"/>
      <c r="E9" s="1027" t="str">
        <f>+'eTool Data Analysis'!I37</f>
        <v>REQUIREMENTS MET</v>
      </c>
      <c r="F9" s="1028"/>
      <c r="G9" s="1029"/>
      <c r="H9" s="991" t="str">
        <f>+CONCATENATE(TEXT('eTool Data Analysis'!I9,0)," Req. Min. Bal. Violations")</f>
        <v>0 Req. Min. Bal. Violations</v>
      </c>
      <c r="I9" s="992" t="str">
        <f>+IF('eTool Data Analysis'!I16="Required","Mitigation Required", "No Mitigation Required")</f>
        <v>Mitigation Required</v>
      </c>
      <c r="J9" s="260"/>
      <c r="K9" s="260"/>
      <c r="L9" s="260"/>
      <c r="M9" s="260"/>
      <c r="N9" s="260"/>
      <c r="O9" s="260"/>
      <c r="P9" s="260"/>
      <c r="Q9" s="260"/>
      <c r="R9" s="260"/>
      <c r="S9" s="260"/>
      <c r="T9" s="260"/>
      <c r="U9" s="260"/>
      <c r="V9" s="260"/>
      <c r="W9" s="260"/>
    </row>
    <row r="10" spans="1:23" ht="16.5" thickBot="1" x14ac:dyDescent="0.3">
      <c r="A10" s="260"/>
      <c r="B10" s="260"/>
      <c r="C10" s="205"/>
      <c r="D10" s="365"/>
      <c r="E10" s="365"/>
      <c r="F10" s="365"/>
      <c r="G10" s="365"/>
      <c r="H10" s="365"/>
      <c r="I10" s="204"/>
      <c r="J10" s="260"/>
      <c r="K10" s="260"/>
      <c r="L10" s="260"/>
      <c r="M10" s="260"/>
      <c r="N10" s="260"/>
      <c r="O10" s="260"/>
      <c r="P10" s="260"/>
      <c r="Q10" s="260"/>
      <c r="R10" s="260"/>
      <c r="S10" s="260"/>
      <c r="T10" s="260"/>
      <c r="U10" s="260"/>
      <c r="V10" s="260"/>
      <c r="W10" s="260"/>
    </row>
    <row r="11" spans="1:23" ht="15.75" x14ac:dyDescent="0.25">
      <c r="A11" s="260"/>
      <c r="B11" s="260"/>
      <c r="C11" s="205"/>
      <c r="D11" s="367" t="s">
        <v>6</v>
      </c>
      <c r="E11" s="352"/>
      <c r="F11" s="352"/>
      <c r="G11" s="352"/>
      <c r="H11" s="353"/>
      <c r="I11" s="204"/>
      <c r="J11" s="260"/>
      <c r="K11" s="260"/>
      <c r="L11" s="260"/>
      <c r="M11" s="260"/>
      <c r="N11" s="260"/>
      <c r="O11" s="260"/>
      <c r="P11" s="260"/>
      <c r="Q11" s="260"/>
      <c r="R11" s="260"/>
      <c r="S11" s="260"/>
      <c r="T11" s="260"/>
      <c r="U11" s="260"/>
      <c r="V11" s="260"/>
      <c r="W11" s="260"/>
    </row>
    <row r="12" spans="1:23" ht="15.75" x14ac:dyDescent="0.25">
      <c r="A12" s="260"/>
      <c r="B12" s="260"/>
      <c r="C12" s="205"/>
      <c r="D12" s="354"/>
      <c r="E12" s="355"/>
      <c r="F12" s="355"/>
      <c r="G12" s="355"/>
      <c r="H12" s="356"/>
      <c r="I12" s="204"/>
      <c r="J12" s="260"/>
      <c r="K12" s="260"/>
      <c r="L12" s="260"/>
      <c r="M12" s="260"/>
      <c r="N12" s="260"/>
      <c r="O12" s="260"/>
      <c r="P12" s="260"/>
      <c r="Q12" s="260"/>
      <c r="R12" s="260"/>
      <c r="S12" s="260"/>
      <c r="T12" s="260"/>
      <c r="U12" s="260"/>
      <c r="V12" s="260"/>
      <c r="W12" s="260"/>
    </row>
    <row r="13" spans="1:23" ht="15.75" hidden="1" customHeight="1" x14ac:dyDescent="0.25">
      <c r="A13" s="260"/>
      <c r="B13" s="260"/>
      <c r="C13" s="205"/>
      <c r="D13" s="354"/>
      <c r="E13" s="355" t="str">
        <f ca="1">+_xlfn.FORMULATEXT('eTool Data'!F4)</f>
        <v>='C:\Users\JD\Dropbox\HUD CNA\CNA RfR Deposit Test Tool training\Finals\Masters\[Sample Project, FinancialSchedule, 12.4.2017.xlsx]Exported'!C3</v>
      </c>
      <c r="F13" s="355"/>
      <c r="G13" s="355"/>
      <c r="H13" s="356"/>
      <c r="I13" s="204"/>
      <c r="J13" s="260"/>
      <c r="K13" s="260"/>
      <c r="L13" s="260"/>
      <c r="M13" s="260"/>
      <c r="N13" s="260"/>
      <c r="O13" s="260"/>
      <c r="P13" s="260"/>
      <c r="Q13" s="260"/>
      <c r="R13" s="260"/>
      <c r="S13" s="260"/>
      <c r="T13" s="260"/>
      <c r="U13" s="260"/>
      <c r="V13" s="260"/>
      <c r="W13" s="260"/>
    </row>
    <row r="14" spans="1:23" ht="15.75" hidden="1" customHeight="1" x14ac:dyDescent="0.25">
      <c r="A14" s="260"/>
      <c r="B14" s="260"/>
      <c r="C14" s="205"/>
      <c r="D14" s="354"/>
      <c r="E14" s="355">
        <f ca="1">+SEARCH("]",E13)</f>
        <v>131</v>
      </c>
      <c r="F14" s="355"/>
      <c r="G14" s="355"/>
      <c r="H14" s="356"/>
      <c r="I14" s="204"/>
      <c r="J14" s="260"/>
      <c r="K14" s="260"/>
      <c r="L14" s="260"/>
      <c r="M14" s="260"/>
      <c r="N14" s="260"/>
      <c r="O14" s="260"/>
      <c r="P14" s="260"/>
      <c r="Q14" s="260"/>
      <c r="R14" s="260"/>
      <c r="S14" s="260"/>
      <c r="T14" s="260"/>
      <c r="U14" s="260"/>
      <c r="V14" s="260"/>
      <c r="W14" s="260"/>
    </row>
    <row r="15" spans="1:23" ht="15.75" hidden="1" customHeight="1" x14ac:dyDescent="0.25">
      <c r="A15" s="260"/>
      <c r="B15" s="260"/>
      <c r="C15" s="205"/>
      <c r="D15" s="354"/>
      <c r="E15" s="355" t="str">
        <f ca="1">+LEFT(E13,E14-1)</f>
        <v>='C:\Users\JD\Dropbox\HUD CNA\CNA RfR Deposit Test Tool training\Finals\Masters\[Sample Project, FinancialSchedule, 12.4.2017.xlsx</v>
      </c>
      <c r="F15" s="355"/>
      <c r="G15" s="355"/>
      <c r="H15" s="356"/>
      <c r="I15" s="204"/>
      <c r="J15" s="260"/>
      <c r="K15" s="260"/>
      <c r="L15" s="260"/>
      <c r="M15" s="260"/>
      <c r="N15" s="260"/>
      <c r="O15" s="260"/>
      <c r="P15" s="260"/>
      <c r="Q15" s="260"/>
      <c r="R15" s="260"/>
      <c r="S15" s="260"/>
      <c r="T15" s="260"/>
      <c r="U15" s="260"/>
      <c r="V15" s="260"/>
      <c r="W15" s="260"/>
    </row>
    <row r="16" spans="1:23" ht="15.75" hidden="1" customHeight="1" x14ac:dyDescent="0.25">
      <c r="A16" s="260"/>
      <c r="B16" s="260"/>
      <c r="C16" s="205"/>
      <c r="D16" s="354"/>
      <c r="E16" s="355">
        <f ca="1">+LEN(E15)</f>
        <v>130</v>
      </c>
      <c r="F16" s="355"/>
      <c r="G16" s="355"/>
      <c r="H16" s="356"/>
      <c r="I16" s="204"/>
      <c r="J16" s="260"/>
      <c r="K16" s="260"/>
      <c r="L16" s="260"/>
      <c r="M16" s="260"/>
      <c r="N16" s="260"/>
      <c r="O16" s="260"/>
      <c r="P16" s="260"/>
      <c r="Q16" s="260"/>
      <c r="R16" s="260"/>
      <c r="S16" s="260"/>
      <c r="T16" s="260"/>
      <c r="U16" s="260"/>
      <c r="V16" s="260"/>
      <c r="W16" s="260"/>
    </row>
    <row r="17" spans="1:23" ht="15.75" hidden="1" customHeight="1" x14ac:dyDescent="0.25">
      <c r="A17" s="260"/>
      <c r="B17" s="260"/>
      <c r="C17" s="205"/>
      <c r="D17" s="354"/>
      <c r="E17" s="355">
        <f ca="1">+SEARCH("[",E15)</f>
        <v>81</v>
      </c>
      <c r="F17" s="355"/>
      <c r="G17" s="355"/>
      <c r="H17" s="356"/>
      <c r="I17" s="204"/>
      <c r="J17" s="260"/>
      <c r="K17" s="260"/>
      <c r="L17" s="260"/>
      <c r="M17" s="260"/>
      <c r="N17" s="260"/>
      <c r="O17" s="260"/>
      <c r="P17" s="260"/>
      <c r="Q17" s="260"/>
      <c r="R17" s="260"/>
      <c r="S17" s="260"/>
      <c r="T17" s="260"/>
      <c r="U17" s="260"/>
      <c r="V17" s="260"/>
      <c r="W17" s="260"/>
    </row>
    <row r="18" spans="1:23" ht="15.75" customHeight="1" x14ac:dyDescent="0.25">
      <c r="A18" s="260"/>
      <c r="B18" s="260"/>
      <c r="C18" s="205"/>
      <c r="D18" s="354"/>
      <c r="E18" s="437" t="s">
        <v>7</v>
      </c>
      <c r="F18" s="437" t="s">
        <v>8</v>
      </c>
      <c r="G18" s="437" t="s">
        <v>9</v>
      </c>
      <c r="H18" s="356"/>
      <c r="I18" s="204"/>
      <c r="J18" s="260"/>
      <c r="K18" s="260"/>
      <c r="L18" s="260"/>
      <c r="M18" s="260"/>
      <c r="N18" s="260"/>
      <c r="O18" s="260"/>
      <c r="P18" s="260"/>
      <c r="Q18" s="260"/>
      <c r="R18" s="260"/>
      <c r="S18" s="260"/>
      <c r="T18" s="260"/>
      <c r="U18" s="260"/>
      <c r="V18" s="260"/>
      <c r="W18" s="260"/>
    </row>
    <row r="19" spans="1:23" ht="15.75" customHeight="1" x14ac:dyDescent="0.25">
      <c r="A19" s="260"/>
      <c r="B19" s="260"/>
      <c r="C19" s="205"/>
      <c r="D19" s="354"/>
      <c r="E19" s="436">
        <f>+'eTool Data Engine'!C20</f>
        <v>200000</v>
      </c>
      <c r="F19" s="436">
        <f>+'eTool Data Engine'!C21</f>
        <v>19800</v>
      </c>
      <c r="G19" s="436">
        <f>+'eTool Data Engine'!C22</f>
        <v>330</v>
      </c>
      <c r="H19" s="356"/>
      <c r="I19" s="204"/>
      <c r="J19" s="260"/>
      <c r="K19" s="260"/>
      <c r="L19" s="260"/>
      <c r="M19" s="260"/>
      <c r="N19" s="260"/>
      <c r="O19" s="260"/>
      <c r="P19" s="260"/>
      <c r="Q19" s="260"/>
      <c r="R19" s="260"/>
      <c r="S19" s="260"/>
      <c r="T19" s="260"/>
      <c r="U19" s="260"/>
      <c r="V19" s="260"/>
      <c r="W19" s="260"/>
    </row>
    <row r="20" spans="1:23" ht="24.75" customHeight="1" x14ac:dyDescent="0.25">
      <c r="A20" s="260"/>
      <c r="B20" s="260"/>
      <c r="C20" s="205"/>
      <c r="D20" s="366" t="s">
        <v>10</v>
      </c>
      <c r="E20" s="370" t="str">
        <f ca="1">+IF(_xlfn.ISFORMULA('eTool Data'!F4)=TRUE,RIGHT(E15,E16-E17),"eTool Data has no linked file source")</f>
        <v>Sample Project, FinancialSchedule, 12.4.2017.xlsx</v>
      </c>
      <c r="F20" s="355"/>
      <c r="G20" s="355"/>
      <c r="H20" s="356"/>
      <c r="I20" s="204"/>
      <c r="J20" s="260"/>
      <c r="K20" s="260"/>
      <c r="L20" s="260"/>
      <c r="M20" s="260"/>
      <c r="N20" s="260"/>
      <c r="O20" s="260"/>
      <c r="P20" s="260"/>
      <c r="Q20" s="260"/>
      <c r="R20" s="260"/>
      <c r="S20" s="260"/>
      <c r="T20" s="260"/>
      <c r="U20" s="260"/>
      <c r="V20" s="260"/>
      <c r="W20" s="260"/>
    </row>
    <row r="21" spans="1:23" ht="15.75" x14ac:dyDescent="0.25">
      <c r="A21" s="260"/>
      <c r="B21" s="260"/>
      <c r="C21" s="205"/>
      <c r="D21" s="354"/>
      <c r="E21" s="355"/>
      <c r="F21" s="355"/>
      <c r="G21" s="355"/>
      <c r="H21" s="356"/>
      <c r="I21" s="204"/>
      <c r="J21" s="260"/>
      <c r="K21" s="260"/>
      <c r="L21" s="260"/>
      <c r="M21" s="260"/>
      <c r="N21" s="260"/>
      <c r="O21" s="260"/>
      <c r="P21" s="260"/>
      <c r="Q21" s="260"/>
      <c r="R21" s="260"/>
      <c r="S21" s="260"/>
      <c r="T21" s="260"/>
      <c r="U21" s="260"/>
      <c r="V21" s="260"/>
      <c r="W21" s="260"/>
    </row>
    <row r="22" spans="1:23" ht="15.75" customHeight="1" x14ac:dyDescent="0.25">
      <c r="A22" s="260"/>
      <c r="B22" s="260"/>
      <c r="C22" s="205"/>
      <c r="D22" s="366" t="s">
        <v>11</v>
      </c>
      <c r="E22" s="355" t="s">
        <v>12</v>
      </c>
      <c r="F22" s="368">
        <f>'eTool Data Analysis'!C23</f>
        <v>12000000</v>
      </c>
      <c r="G22" s="355"/>
      <c r="H22" s="995" t="s">
        <v>558</v>
      </c>
      <c r="I22" s="204"/>
      <c r="J22" s="260"/>
      <c r="K22" s="260"/>
      <c r="L22" s="260"/>
      <c r="M22" s="260"/>
      <c r="N22" s="260"/>
      <c r="O22" s="260"/>
      <c r="P22" s="260"/>
      <c r="Q22" s="260"/>
      <c r="R22" s="260"/>
      <c r="S22" s="260"/>
      <c r="T22" s="260"/>
      <c r="U22" s="260"/>
      <c r="V22" s="260"/>
      <c r="W22" s="260"/>
    </row>
    <row r="23" spans="1:23" ht="15.75" x14ac:dyDescent="0.25">
      <c r="A23" s="260"/>
      <c r="B23" s="260"/>
      <c r="C23" s="205"/>
      <c r="D23" s="354"/>
      <c r="E23" s="355" t="s">
        <v>13</v>
      </c>
      <c r="F23" s="369">
        <f>+'eTool Data Analysis'!E23</f>
        <v>3.4000000000000002E-2</v>
      </c>
      <c r="G23" s="355"/>
      <c r="H23" s="995" t="s">
        <v>556</v>
      </c>
      <c r="I23" s="204"/>
      <c r="J23" s="260"/>
      <c r="K23" s="260"/>
      <c r="L23" s="260"/>
      <c r="M23" s="260"/>
      <c r="N23" s="260"/>
      <c r="O23" s="260"/>
      <c r="P23" s="260"/>
      <c r="Q23" s="260"/>
      <c r="R23" s="260"/>
      <c r="S23" s="260"/>
      <c r="T23" s="260"/>
      <c r="U23" s="260"/>
      <c r="V23" s="260"/>
      <c r="W23" s="260"/>
    </row>
    <row r="24" spans="1:23" ht="15.75" x14ac:dyDescent="0.25">
      <c r="A24" s="260"/>
      <c r="B24" s="260"/>
      <c r="C24" s="205"/>
      <c r="D24" s="354"/>
      <c r="E24" s="355" t="s">
        <v>14</v>
      </c>
      <c r="F24" s="370">
        <f>+'eTool Data Analysis'!G23</f>
        <v>35</v>
      </c>
      <c r="G24" s="355"/>
      <c r="H24" s="996" t="s">
        <v>557</v>
      </c>
      <c r="I24" s="204"/>
      <c r="J24" s="260"/>
      <c r="K24" s="260"/>
      <c r="L24" s="260"/>
      <c r="M24" s="260"/>
      <c r="N24" s="260"/>
      <c r="O24" s="260"/>
      <c r="P24" s="260"/>
      <c r="Q24" s="260"/>
      <c r="R24" s="260"/>
      <c r="S24" s="260"/>
      <c r="T24" s="260"/>
      <c r="U24" s="260"/>
      <c r="V24" s="260"/>
      <c r="W24" s="260"/>
    </row>
    <row r="25" spans="1:23" ht="15.75" x14ac:dyDescent="0.25">
      <c r="A25" s="260"/>
      <c r="B25" s="260"/>
      <c r="C25" s="205"/>
      <c r="D25" s="354"/>
      <c r="E25" s="355"/>
      <c r="F25" s="370"/>
      <c r="G25" s="355"/>
      <c r="H25" s="356"/>
      <c r="I25" s="204"/>
      <c r="J25" s="260"/>
      <c r="K25" s="260"/>
      <c r="L25" s="260"/>
      <c r="M25" s="260"/>
      <c r="N25" s="260"/>
      <c r="O25" s="260"/>
      <c r="P25" s="260"/>
      <c r="Q25" s="260"/>
      <c r="R25" s="260"/>
      <c r="S25" s="260"/>
      <c r="T25" s="260"/>
      <c r="U25" s="260"/>
      <c r="V25" s="260"/>
      <c r="W25" s="260"/>
    </row>
    <row r="26" spans="1:23" ht="15.75" x14ac:dyDescent="0.25">
      <c r="A26" s="260"/>
      <c r="B26" s="260"/>
      <c r="C26" s="205"/>
      <c r="D26" s="354"/>
      <c r="E26" s="355" t="s">
        <v>15</v>
      </c>
      <c r="F26" s="371">
        <f>+'eTool Data Analysis'!G27</f>
        <v>43191</v>
      </c>
      <c r="G26" s="355"/>
      <c r="H26" s="356"/>
      <c r="I26" s="204"/>
      <c r="J26" s="260"/>
      <c r="K26" s="434" t="str">
        <f>+C31</f>
        <v>Sample Project</v>
      </c>
      <c r="L26" s="260"/>
      <c r="M26" s="260"/>
      <c r="N26" s="260"/>
      <c r="O26" s="260"/>
      <c r="P26" s="260"/>
      <c r="Q26" s="260"/>
      <c r="R26" s="260"/>
      <c r="S26" s="260"/>
      <c r="T26" s="260"/>
      <c r="U26" s="260"/>
      <c r="V26" s="260"/>
      <c r="W26" s="260"/>
    </row>
    <row r="27" spans="1:23" ht="18" customHeight="1" x14ac:dyDescent="0.25">
      <c r="A27" s="260"/>
      <c r="B27" s="260"/>
      <c r="C27" s="205"/>
      <c r="D27" s="354"/>
      <c r="E27" s="355"/>
      <c r="F27" s="355"/>
      <c r="G27" s="355"/>
      <c r="H27" s="356"/>
      <c r="I27" s="204"/>
      <c r="J27" s="260"/>
      <c r="K27" s="260"/>
      <c r="L27" s="260"/>
      <c r="M27" s="260"/>
      <c r="N27" s="260"/>
      <c r="O27" s="260"/>
      <c r="P27" s="260"/>
      <c r="Q27" s="260"/>
      <c r="R27" s="260"/>
      <c r="S27" s="260"/>
      <c r="T27" s="260"/>
      <c r="U27" s="260"/>
      <c r="V27" s="260"/>
      <c r="W27" s="260"/>
    </row>
    <row r="28" spans="1:23" ht="15.75" x14ac:dyDescent="0.25">
      <c r="A28" s="260"/>
      <c r="B28" s="260"/>
      <c r="C28" s="205"/>
      <c r="D28" s="357" t="s">
        <v>16</v>
      </c>
      <c r="E28" s="355"/>
      <c r="F28" s="355"/>
      <c r="G28" s="355"/>
      <c r="H28" s="356"/>
      <c r="I28" s="204"/>
      <c r="J28" s="260"/>
      <c r="K28" s="260"/>
      <c r="L28" s="260"/>
      <c r="M28" s="260"/>
      <c r="N28" s="260"/>
      <c r="O28" s="260"/>
      <c r="P28" s="260"/>
      <c r="Q28" s="260"/>
      <c r="R28" s="260"/>
      <c r="S28" s="260"/>
      <c r="T28" s="260"/>
      <c r="U28" s="260"/>
      <c r="V28" s="260"/>
      <c r="W28" s="260"/>
    </row>
    <row r="29" spans="1:23" ht="15.75" x14ac:dyDescent="0.25">
      <c r="A29" s="260"/>
      <c r="B29" s="260"/>
      <c r="C29" s="205"/>
      <c r="D29" s="354"/>
      <c r="E29" s="355"/>
      <c r="F29" s="358">
        <f>+'eTool Data Analysis'!E27</f>
        <v>0.5</v>
      </c>
      <c r="G29" s="355"/>
      <c r="H29" s="356"/>
      <c r="I29" s="204"/>
      <c r="J29" s="260"/>
      <c r="K29" s="260"/>
      <c r="L29" s="260"/>
      <c r="M29" s="260"/>
      <c r="N29" s="260"/>
      <c r="O29" s="260"/>
      <c r="P29" s="260"/>
      <c r="Q29" s="260"/>
      <c r="R29" s="260"/>
      <c r="S29" s="260"/>
      <c r="T29" s="260"/>
      <c r="U29" s="260"/>
      <c r="V29" s="260"/>
      <c r="W29" s="260"/>
    </row>
    <row r="30" spans="1:23" ht="16.5" thickBot="1" x14ac:dyDescent="0.3">
      <c r="A30" s="260"/>
      <c r="B30" s="260"/>
      <c r="C30" s="205"/>
      <c r="D30" s="359"/>
      <c r="E30" s="360"/>
      <c r="F30" s="433"/>
      <c r="G30" s="360"/>
      <c r="H30" s="361"/>
      <c r="I30" s="204"/>
      <c r="J30" s="260"/>
      <c r="K30" s="260"/>
      <c r="L30" s="260"/>
      <c r="M30" s="260"/>
      <c r="N30" s="260"/>
      <c r="O30" s="260"/>
      <c r="P30" s="260"/>
      <c r="Q30" s="260"/>
      <c r="R30" s="260"/>
      <c r="S30" s="260"/>
      <c r="T30" s="260"/>
      <c r="U30" s="260"/>
      <c r="V30" s="260"/>
      <c r="W30" s="260"/>
    </row>
    <row r="31" spans="1:23" ht="15.75" thickBot="1" x14ac:dyDescent="0.3">
      <c r="A31" s="260"/>
      <c r="B31" s="260"/>
      <c r="C31" s="465" t="str">
        <f>+'eTool Data'!E1</f>
        <v>Sample Project</v>
      </c>
      <c r="D31" s="211"/>
      <c r="E31" s="211"/>
      <c r="F31" s="211"/>
      <c r="G31" s="211"/>
      <c r="H31" s="211"/>
      <c r="I31" s="209"/>
      <c r="J31" s="260"/>
      <c r="K31" s="260"/>
      <c r="L31" s="260"/>
      <c r="M31" s="260"/>
      <c r="N31" s="260"/>
      <c r="O31" s="260"/>
      <c r="P31" s="260"/>
      <c r="Q31" s="260"/>
      <c r="R31" s="260"/>
      <c r="S31" s="260"/>
      <c r="T31" s="260"/>
      <c r="U31" s="260"/>
      <c r="V31" s="260"/>
      <c r="W31" s="260"/>
    </row>
    <row r="32" spans="1:23" x14ac:dyDescent="0.25">
      <c r="A32" s="260"/>
      <c r="B32" s="260"/>
      <c r="C32" s="260"/>
      <c r="D32" s="260"/>
      <c r="E32" s="260"/>
      <c r="F32" s="260"/>
      <c r="G32" s="260"/>
      <c r="H32" s="260"/>
      <c r="I32" s="260"/>
      <c r="J32" s="260"/>
      <c r="K32" s="260"/>
      <c r="L32" s="260"/>
      <c r="M32" s="260"/>
      <c r="N32" s="260"/>
      <c r="O32" s="260"/>
      <c r="P32" s="260"/>
      <c r="Q32" s="260"/>
      <c r="R32" s="260"/>
      <c r="S32" s="260"/>
      <c r="T32" s="260"/>
      <c r="U32" s="260"/>
      <c r="V32" s="260"/>
      <c r="W32" s="260"/>
    </row>
    <row r="33" spans="1:23" ht="15.75" thickBot="1" x14ac:dyDescent="0.3">
      <c r="A33" s="260"/>
      <c r="B33" s="260"/>
      <c r="C33" s="435" t="s">
        <v>17</v>
      </c>
      <c r="D33" s="416"/>
      <c r="E33" s="416"/>
      <c r="F33" s="417" t="s">
        <v>18</v>
      </c>
      <c r="G33" s="416"/>
      <c r="H33" s="416"/>
      <c r="I33" s="207" t="s">
        <v>19</v>
      </c>
      <c r="J33" s="260"/>
      <c r="K33" s="260"/>
      <c r="L33" s="260"/>
      <c r="M33" s="260"/>
      <c r="N33" s="260"/>
      <c r="O33" s="260"/>
      <c r="P33" s="260"/>
      <c r="Q33" s="260"/>
      <c r="R33" s="260"/>
      <c r="S33" s="260"/>
      <c r="T33" s="260"/>
      <c r="U33" s="260"/>
      <c r="V33" s="260"/>
      <c r="W33" s="260"/>
    </row>
    <row r="34" spans="1:23" ht="17.25" customHeight="1" x14ac:dyDescent="0.25">
      <c r="A34" s="260"/>
      <c r="B34" s="260"/>
      <c r="C34" s="418" t="s">
        <v>20</v>
      </c>
      <c r="D34" s="419">
        <f>+'eTool Data'!F4+SUM('eTool Data'!F5:O5)+SUM('eTool Data'!F6:O6)</f>
        <v>436710</v>
      </c>
      <c r="E34" s="420">
        <f>+D34/D36</f>
        <v>0.6220355351206297</v>
      </c>
      <c r="F34" s="418" t="s">
        <v>20</v>
      </c>
      <c r="G34" s="419">
        <f>+SUM('eTool Data'!F7:O7)</f>
        <v>365208</v>
      </c>
      <c r="H34" s="420">
        <f>+G34/G36</f>
        <v>0.28931674578075783</v>
      </c>
      <c r="I34" s="421">
        <f>+D34-G34</f>
        <v>71502</v>
      </c>
      <c r="J34" s="210"/>
      <c r="K34" s="260"/>
      <c r="L34" s="260"/>
      <c r="M34" s="260"/>
      <c r="N34" s="260"/>
      <c r="O34" s="260"/>
      <c r="P34" s="260"/>
      <c r="Q34" s="260"/>
      <c r="R34" s="260"/>
      <c r="S34" s="260"/>
      <c r="T34" s="260"/>
      <c r="U34" s="260"/>
      <c r="V34" s="260"/>
      <c r="W34" s="260"/>
    </row>
    <row r="35" spans="1:23" ht="10.5" customHeight="1" x14ac:dyDescent="0.25">
      <c r="A35" s="260"/>
      <c r="B35" s="260"/>
      <c r="C35" s="422" t="s">
        <v>21</v>
      </c>
      <c r="D35" s="423">
        <f>+SUM('eTool Data'!P5:Y5)+SUM('eTool Data'!P6:Y6)</f>
        <v>265356</v>
      </c>
      <c r="E35" s="424">
        <f>+D35/D36</f>
        <v>0.3779644648793703</v>
      </c>
      <c r="F35" s="422" t="s">
        <v>21</v>
      </c>
      <c r="G35" s="423">
        <f>+SUM('eTool Data'!P7:Y7)</f>
        <v>897104</v>
      </c>
      <c r="H35" s="424">
        <f>+G35/G36</f>
        <v>0.71068325421924217</v>
      </c>
      <c r="I35" s="425">
        <f>+D35-G35</f>
        <v>-631748</v>
      </c>
      <c r="J35" s="210"/>
      <c r="K35" s="260"/>
      <c r="L35" s="260"/>
      <c r="M35" s="260"/>
      <c r="N35" s="260"/>
      <c r="O35" s="260"/>
      <c r="P35" s="260"/>
      <c r="Q35" s="260"/>
      <c r="R35" s="260"/>
      <c r="S35" s="260"/>
      <c r="T35" s="260"/>
      <c r="U35" s="260"/>
      <c r="V35" s="260"/>
      <c r="W35" s="260"/>
    </row>
    <row r="36" spans="1:23" ht="15.75" thickBot="1" x14ac:dyDescent="0.3">
      <c r="A36" s="260"/>
      <c r="B36" s="260"/>
      <c r="C36" s="426" t="s">
        <v>22</v>
      </c>
      <c r="D36" s="208">
        <f>+'eTool Data'!F4+SUM('eTool Data'!F5:Y5)+SUM('eTool Data'!F6:Y6)</f>
        <v>702066</v>
      </c>
      <c r="E36" s="427">
        <f>+D36/D36</f>
        <v>1</v>
      </c>
      <c r="F36" s="426" t="s">
        <v>22</v>
      </c>
      <c r="G36" s="208">
        <f>+SUM('eTool Data'!F7:Y7)</f>
        <v>1262312</v>
      </c>
      <c r="H36" s="427">
        <f>+G36/G36</f>
        <v>1</v>
      </c>
      <c r="I36" s="428">
        <f>+D36-G36</f>
        <v>-560246</v>
      </c>
      <c r="J36" s="210"/>
      <c r="K36" s="260"/>
      <c r="L36" s="260"/>
      <c r="M36" s="260"/>
      <c r="N36" s="260"/>
      <c r="O36" s="260"/>
      <c r="P36" s="260"/>
      <c r="Q36" s="260"/>
      <c r="R36" s="260"/>
      <c r="S36" s="260"/>
      <c r="T36" s="260"/>
      <c r="U36" s="260"/>
      <c r="V36" s="260"/>
      <c r="W36" s="260"/>
    </row>
    <row r="37" spans="1:23" ht="15.75" thickBot="1" x14ac:dyDescent="0.3">
      <c r="A37" s="260"/>
      <c r="B37" s="260"/>
      <c r="C37" s="260"/>
      <c r="D37" s="260"/>
      <c r="E37" s="260"/>
      <c r="F37" s="260"/>
      <c r="G37" s="260"/>
      <c r="H37" s="260"/>
      <c r="I37" s="260"/>
      <c r="J37" s="210"/>
      <c r="K37" s="260"/>
      <c r="L37" s="260"/>
      <c r="M37" s="260"/>
      <c r="N37" s="260"/>
      <c r="O37" s="260"/>
      <c r="P37" s="260"/>
      <c r="Q37" s="260"/>
      <c r="R37" s="260"/>
      <c r="S37" s="260"/>
      <c r="T37" s="260"/>
      <c r="U37" s="260"/>
      <c r="V37" s="260"/>
      <c r="W37" s="260"/>
    </row>
    <row r="38" spans="1:23" x14ac:dyDescent="0.25">
      <c r="A38" s="260"/>
      <c r="B38" s="260"/>
      <c r="C38" s="418" t="s">
        <v>23</v>
      </c>
      <c r="D38" s="419"/>
      <c r="E38" s="429" t="s">
        <v>24</v>
      </c>
      <c r="F38" s="418" t="s">
        <v>25</v>
      </c>
      <c r="G38" s="419"/>
      <c r="H38" s="429" t="s">
        <v>26</v>
      </c>
      <c r="I38" s="430" t="s">
        <v>27</v>
      </c>
      <c r="J38" s="210"/>
      <c r="K38" s="260"/>
      <c r="L38" s="260"/>
      <c r="M38" s="260"/>
      <c r="N38" s="260"/>
      <c r="O38" s="260"/>
      <c r="P38" s="260"/>
      <c r="Q38" s="260"/>
      <c r="R38" s="260"/>
      <c r="S38" s="260"/>
      <c r="T38" s="260"/>
      <c r="U38" s="260"/>
      <c r="V38" s="260"/>
      <c r="W38" s="260"/>
    </row>
    <row r="39" spans="1:23" x14ac:dyDescent="0.25">
      <c r="A39" s="260"/>
      <c r="B39" s="260"/>
      <c r="C39" s="422" t="s">
        <v>20</v>
      </c>
      <c r="D39" s="201">
        <f>+D34/10/'eTool Data Engine'!$C$23</f>
        <v>727.85</v>
      </c>
      <c r="E39" s="431"/>
      <c r="F39" s="422" t="s">
        <v>20</v>
      </c>
      <c r="G39" s="201">
        <f>+G34/10/'eTool Data Engine'!$C$23</f>
        <v>608.68000000000006</v>
      </c>
      <c r="H39" s="431"/>
      <c r="I39" s="432">
        <f>+D39-G39</f>
        <v>119.16999999999996</v>
      </c>
      <c r="J39" s="210"/>
      <c r="K39" s="260"/>
      <c r="L39" s="260"/>
      <c r="M39" s="260"/>
      <c r="N39" s="260"/>
      <c r="O39" s="260"/>
      <c r="P39" s="260"/>
      <c r="Q39" s="260"/>
      <c r="R39" s="260"/>
      <c r="S39" s="260"/>
      <c r="T39" s="260"/>
      <c r="U39" s="260"/>
      <c r="V39" s="260"/>
      <c r="W39" s="260"/>
    </row>
    <row r="40" spans="1:23" x14ac:dyDescent="0.25">
      <c r="A40" s="260"/>
      <c r="B40" s="260"/>
      <c r="C40" s="422" t="s">
        <v>21</v>
      </c>
      <c r="D40" s="201">
        <f>+D35/10/'eTool Data Engine'!$C$23</f>
        <v>442.26</v>
      </c>
      <c r="E40" s="431">
        <f>+D40/D39</f>
        <v>0.60762519749948474</v>
      </c>
      <c r="F40" s="422" t="s">
        <v>21</v>
      </c>
      <c r="G40" s="201">
        <f>+G35/10/'eTool Data Engine'!$C$23</f>
        <v>1495.1733333333332</v>
      </c>
      <c r="H40" s="431">
        <f>+G40/G39</f>
        <v>2.4564193555453326</v>
      </c>
      <c r="I40" s="432">
        <f>+D40-G40</f>
        <v>-1052.9133333333332</v>
      </c>
      <c r="J40" s="210"/>
      <c r="K40" s="260"/>
      <c r="L40" s="260"/>
      <c r="M40" s="260"/>
      <c r="N40" s="260"/>
      <c r="O40" s="260"/>
      <c r="P40" s="260"/>
      <c r="Q40" s="260"/>
      <c r="R40" s="260"/>
      <c r="S40" s="260"/>
      <c r="T40" s="260"/>
      <c r="U40" s="260"/>
      <c r="V40" s="260"/>
      <c r="W40" s="260"/>
    </row>
    <row r="41" spans="1:23" ht="15.75" thickBot="1" x14ac:dyDescent="0.3">
      <c r="A41" s="260"/>
      <c r="B41" s="260"/>
      <c r="C41" s="426" t="s">
        <v>28</v>
      </c>
      <c r="D41" s="208">
        <f>+D36/20/'eTool Data Engine'!$C$23</f>
        <v>585.05500000000006</v>
      </c>
      <c r="E41" s="427"/>
      <c r="F41" s="426" t="s">
        <v>28</v>
      </c>
      <c r="G41" s="208">
        <f>+G36/20/'eTool Data Engine'!$C$23</f>
        <v>1051.9266666666667</v>
      </c>
      <c r="H41" s="427"/>
      <c r="I41" s="428">
        <f>+D41-G41</f>
        <v>-466.87166666666667</v>
      </c>
      <c r="J41" s="210"/>
      <c r="K41" s="210"/>
      <c r="L41" s="210"/>
      <c r="M41" s="210"/>
      <c r="N41" s="210"/>
      <c r="O41" s="260"/>
      <c r="P41" s="260"/>
      <c r="Q41" s="260"/>
      <c r="R41" s="260"/>
      <c r="S41" s="260"/>
      <c r="T41" s="260"/>
      <c r="U41" s="260"/>
      <c r="V41" s="260"/>
      <c r="W41" s="260"/>
    </row>
    <row r="42" spans="1:23" x14ac:dyDescent="0.25">
      <c r="A42" s="260"/>
      <c r="B42" s="260"/>
      <c r="C42" s="434" t="s">
        <v>29</v>
      </c>
      <c r="D42" s="260"/>
      <c r="E42" s="260"/>
      <c r="F42" s="260"/>
      <c r="G42" s="260"/>
      <c r="H42" s="260"/>
      <c r="I42" s="260"/>
      <c r="J42" s="210"/>
      <c r="K42" s="210"/>
      <c r="L42" s="210"/>
      <c r="M42" s="210"/>
      <c r="N42" s="210"/>
      <c r="O42" s="260"/>
      <c r="P42" s="260"/>
      <c r="Q42" s="260"/>
      <c r="R42" s="260"/>
      <c r="S42" s="260"/>
      <c r="T42" s="260"/>
      <c r="U42" s="260"/>
      <c r="V42" s="260"/>
      <c r="W42" s="260"/>
    </row>
    <row r="43" spans="1:23" x14ac:dyDescent="0.25">
      <c r="A43" s="260"/>
      <c r="B43" s="260"/>
      <c r="C43" s="260"/>
      <c r="D43" s="260"/>
      <c r="E43" s="260"/>
      <c r="F43" s="260"/>
      <c r="G43" s="260"/>
      <c r="H43" s="260"/>
      <c r="I43" s="260"/>
      <c r="J43" s="260"/>
      <c r="K43" s="210"/>
      <c r="L43" s="210"/>
      <c r="M43" s="210"/>
      <c r="N43" s="210"/>
      <c r="O43" s="260"/>
      <c r="P43" s="260"/>
      <c r="Q43" s="260"/>
      <c r="R43" s="260"/>
      <c r="S43" s="260"/>
      <c r="T43" s="260"/>
      <c r="U43" s="260"/>
      <c r="V43" s="260"/>
      <c r="W43" s="260"/>
    </row>
    <row r="44" spans="1:23" x14ac:dyDescent="0.25">
      <c r="A44" s="260"/>
      <c r="B44" s="260"/>
      <c r="C44" s="260"/>
      <c r="D44" s="260"/>
      <c r="E44" s="260"/>
      <c r="F44" s="260"/>
      <c r="G44" s="260"/>
      <c r="H44" s="260"/>
      <c r="I44" s="260"/>
      <c r="J44" s="260"/>
      <c r="K44" s="210"/>
      <c r="L44" s="210"/>
      <c r="M44" s="210"/>
      <c r="N44" s="210"/>
      <c r="O44" s="260"/>
      <c r="P44" s="260"/>
      <c r="Q44" s="260"/>
      <c r="R44" s="260"/>
      <c r="S44" s="260"/>
      <c r="T44" s="260"/>
      <c r="U44" s="260"/>
      <c r="V44" s="260"/>
      <c r="W44" s="260"/>
    </row>
    <row r="45" spans="1:23" x14ac:dyDescent="0.25">
      <c r="A45" s="260"/>
      <c r="B45" s="260"/>
      <c r="C45" s="260"/>
      <c r="D45" s="260"/>
      <c r="E45" s="260"/>
      <c r="F45" s="260"/>
      <c r="G45" s="260"/>
      <c r="H45" s="260"/>
      <c r="I45" s="260"/>
      <c r="J45" s="260"/>
      <c r="K45" s="210"/>
      <c r="L45" s="210"/>
      <c r="M45" s="210"/>
      <c r="N45" s="210"/>
      <c r="O45" s="260"/>
      <c r="P45" s="260"/>
      <c r="Q45" s="260"/>
      <c r="R45" s="260"/>
      <c r="S45" s="260"/>
      <c r="T45" s="260"/>
      <c r="U45" s="260"/>
      <c r="V45" s="260"/>
      <c r="W45" s="260"/>
    </row>
    <row r="46" spans="1:23" x14ac:dyDescent="0.25">
      <c r="A46" s="260"/>
      <c r="B46" s="260"/>
      <c r="C46" s="260"/>
      <c r="D46" s="260"/>
      <c r="E46" s="260"/>
      <c r="F46" s="260"/>
      <c r="G46" s="260"/>
      <c r="H46" s="260"/>
      <c r="I46" s="260"/>
      <c r="J46" s="260"/>
      <c r="K46" s="210"/>
      <c r="L46" s="210"/>
      <c r="M46" s="210"/>
      <c r="N46" s="210"/>
      <c r="O46" s="260"/>
      <c r="P46" s="260"/>
      <c r="Q46" s="260"/>
      <c r="R46" s="260"/>
      <c r="S46" s="260"/>
      <c r="T46" s="260"/>
      <c r="U46" s="260"/>
      <c r="V46" s="260"/>
      <c r="W46" s="260"/>
    </row>
    <row r="47" spans="1:23" x14ac:dyDescent="0.25">
      <c r="A47" s="260"/>
      <c r="B47" s="260"/>
      <c r="C47" s="260"/>
      <c r="D47" s="260"/>
      <c r="E47" s="260"/>
      <c r="F47" s="260"/>
      <c r="G47" s="260"/>
      <c r="H47" s="260"/>
      <c r="I47" s="260"/>
      <c r="J47" s="260"/>
      <c r="K47" s="210"/>
      <c r="L47" s="210"/>
      <c r="M47" s="210"/>
      <c r="N47" s="210"/>
      <c r="O47" s="260"/>
      <c r="P47" s="260"/>
      <c r="Q47" s="260"/>
      <c r="R47" s="260"/>
      <c r="S47" s="260"/>
      <c r="T47" s="260"/>
      <c r="U47" s="260"/>
      <c r="V47" s="260"/>
      <c r="W47" s="260"/>
    </row>
    <row r="48" spans="1:23" x14ac:dyDescent="0.25">
      <c r="A48" s="260"/>
      <c r="B48" s="260"/>
      <c r="C48" s="260"/>
      <c r="D48" s="260"/>
      <c r="E48" s="260"/>
      <c r="F48" s="260"/>
      <c r="G48" s="260"/>
      <c r="H48" s="260"/>
      <c r="I48" s="260"/>
      <c r="J48" s="260"/>
      <c r="K48" s="210"/>
      <c r="L48" s="210"/>
      <c r="M48" s="210"/>
      <c r="N48" s="210"/>
      <c r="O48" s="260"/>
      <c r="P48" s="260"/>
      <c r="Q48" s="260"/>
      <c r="R48" s="260"/>
      <c r="S48" s="260"/>
      <c r="T48" s="260"/>
      <c r="U48" s="260"/>
      <c r="V48" s="260"/>
      <c r="W48" s="260"/>
    </row>
    <row r="49" spans="1:23" x14ac:dyDescent="0.25">
      <c r="A49" s="260"/>
      <c r="B49" s="260"/>
      <c r="C49" s="260"/>
      <c r="D49" s="260"/>
      <c r="E49" s="260"/>
      <c r="F49" s="260"/>
      <c r="G49" s="260"/>
      <c r="H49" s="260"/>
      <c r="I49" s="260"/>
      <c r="J49" s="260"/>
      <c r="K49" s="210"/>
      <c r="L49" s="210"/>
      <c r="M49" s="210"/>
      <c r="N49" s="210"/>
      <c r="O49" s="260"/>
      <c r="P49" s="260"/>
      <c r="Q49" s="260"/>
      <c r="R49" s="260"/>
      <c r="S49" s="260"/>
      <c r="T49" s="260"/>
      <c r="U49" s="260"/>
      <c r="V49" s="260"/>
      <c r="W49" s="260"/>
    </row>
    <row r="50" spans="1:23" x14ac:dyDescent="0.25">
      <c r="A50" s="260"/>
      <c r="B50" s="260"/>
      <c r="C50" s="260"/>
      <c r="D50" s="260"/>
      <c r="E50" s="260"/>
      <c r="F50" s="260"/>
      <c r="G50" s="260"/>
      <c r="H50" s="260"/>
      <c r="I50" s="260"/>
      <c r="J50" s="260"/>
      <c r="K50" s="210"/>
      <c r="L50" s="210"/>
      <c r="M50" s="210"/>
      <c r="N50" s="210"/>
      <c r="O50" s="260"/>
      <c r="P50" s="260"/>
      <c r="Q50" s="260"/>
      <c r="R50" s="260"/>
      <c r="S50" s="260"/>
      <c r="T50" s="260"/>
      <c r="U50" s="260"/>
      <c r="V50" s="260"/>
      <c r="W50" s="260"/>
    </row>
    <row r="51" spans="1:23" x14ac:dyDescent="0.25">
      <c r="A51" s="260"/>
      <c r="B51" s="260"/>
      <c r="C51" s="260"/>
      <c r="D51" s="260"/>
      <c r="E51" s="260"/>
      <c r="F51" s="260"/>
      <c r="G51" s="260"/>
      <c r="H51" s="260"/>
      <c r="I51" s="260"/>
      <c r="J51" s="260"/>
      <c r="K51" s="210"/>
      <c r="L51" s="210"/>
      <c r="M51" s="210"/>
      <c r="N51" s="210"/>
      <c r="O51" s="260"/>
      <c r="P51" s="260"/>
      <c r="Q51" s="260"/>
      <c r="R51" s="260"/>
      <c r="S51" s="260"/>
      <c r="T51" s="260"/>
      <c r="U51" s="260"/>
      <c r="V51" s="260"/>
      <c r="W51" s="260"/>
    </row>
    <row r="52" spans="1:23" x14ac:dyDescent="0.25">
      <c r="A52" s="260"/>
      <c r="B52" s="260"/>
      <c r="C52" s="260"/>
      <c r="D52" s="260"/>
      <c r="E52" s="260"/>
      <c r="F52" s="260"/>
      <c r="G52" s="260"/>
      <c r="H52" s="260"/>
      <c r="I52" s="260"/>
      <c r="J52" s="260"/>
      <c r="K52" s="210"/>
      <c r="L52" s="210"/>
      <c r="M52" s="210"/>
      <c r="N52" s="210"/>
      <c r="O52" s="260"/>
      <c r="P52" s="260"/>
      <c r="Q52" s="260"/>
      <c r="R52" s="260"/>
      <c r="S52" s="260"/>
      <c r="T52" s="260"/>
      <c r="U52" s="260"/>
      <c r="V52" s="260"/>
      <c r="W52" s="260"/>
    </row>
  </sheetData>
  <sheetProtection algorithmName="SHA-512" hashValue="9MpG4v3a9txn7WME2RV4APpoQh4BhY+loOLECYPdPGwtQ7ZYoLWwvc6pWnnSdLsDXFE3I0XGNMwbuki7/8C1ag==" saltValue="OZGMKoS5O4wpnnchLZaJgw==" spinCount="100000" sheet="1" objects="1" scenarios="1"/>
  <mergeCells count="3">
    <mergeCell ref="D3:H4"/>
    <mergeCell ref="E9:G9"/>
    <mergeCell ref="F6:G6"/>
  </mergeCells>
  <conditionalFormatting sqref="E9">
    <cfRule type="cellIs" dxfId="52" priority="1" operator="equal">
      <formula>"REQUIREMENTS MET"</formula>
    </cfRule>
    <cfRule type="cellIs" dxfId="51" priority="2" operator="equal">
      <formula>"violation exists"</formula>
    </cfRule>
  </conditionalFormatting>
  <hyperlinks>
    <hyperlink ref="H24" location="'eTool Data Analysis'!MORTGAGE_TERMS___AMORTIZATION_TEST_PERCENTAGE" display="(Mortgage Inputs Link)" xr:uid="{73E253B3-7070-4381-9038-6E399BA5A6DB}"/>
    <hyperlink ref="H9" location="Yr_1_to_10_eTool_data_status" display="Yr_1_to_10_eTool_data_status" xr:uid="{763A04D1-5260-476F-8810-2E307BB92E9C}"/>
    <hyperlink ref="I9" location="Yr_11_eTool_data_status" display="Yr_11_eTool_data_status" xr:uid="{9AB4767F-6879-4088-994A-610A468CE00E}"/>
    <hyperlink ref="F6:G6" location="Data_Entry__PROPERTY_INFORMATION" display="(Property Data Link)" xr:uid="{D29F410D-9E33-4BEA-B0A1-5574E453C660}"/>
  </hyperlinks>
  <pageMargins left="0.7" right="0.7" top="0.75" bottom="0.75" header="0.3" footer="0.3"/>
  <pageSetup orientation="portrait" horizontalDpi="4294967293" vertic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CC435-81BA-4692-AFA4-1B1972847BD9}">
  <sheetPr codeName="Sheet6">
    <tabColor rgb="FF66FFFF"/>
    <pageSetUpPr fitToPage="1"/>
  </sheetPr>
  <dimension ref="A1:W136"/>
  <sheetViews>
    <sheetView workbookViewId="0"/>
  </sheetViews>
  <sheetFormatPr defaultColWidth="9.140625" defaultRowHeight="15" x14ac:dyDescent="0.25"/>
  <cols>
    <col min="1" max="1" width="3.140625" style="603" customWidth="1"/>
    <col min="2" max="2" width="13.7109375" style="603" customWidth="1"/>
    <col min="3" max="3" width="20.5703125" style="603" customWidth="1"/>
    <col min="4" max="4" width="2.140625" style="603" customWidth="1"/>
    <col min="5" max="5" width="20.5703125" style="603" customWidth="1"/>
    <col min="6" max="6" width="2.140625" style="603" customWidth="1"/>
    <col min="7" max="7" width="20.5703125" style="603" customWidth="1"/>
    <col min="8" max="8" width="2.140625" style="603" customWidth="1"/>
    <col min="9" max="9" width="20.5703125" style="603" customWidth="1"/>
    <col min="10" max="11" width="2.140625" style="603" customWidth="1"/>
    <col min="12" max="12" width="8.5703125" style="603" customWidth="1"/>
    <col min="13" max="13" width="22.5703125" style="603" customWidth="1"/>
    <col min="14" max="15" width="15.42578125" style="603" customWidth="1"/>
    <col min="16" max="16" width="17.85546875" style="603" customWidth="1"/>
    <col min="17" max="17" width="21.85546875" style="603" customWidth="1"/>
    <col min="18" max="18" width="52.42578125" style="603" customWidth="1"/>
    <col min="19" max="16384" width="9.140625" style="603"/>
  </cols>
  <sheetData>
    <row r="1" spans="1:18" ht="15.75" thickBot="1" x14ac:dyDescent="0.3">
      <c r="A1" s="601"/>
      <c r="B1" s="601"/>
      <c r="C1" s="601"/>
      <c r="D1" s="601"/>
      <c r="E1" s="601"/>
      <c r="F1" s="601"/>
      <c r="G1" s="601"/>
      <c r="H1" s="601"/>
      <c r="I1" s="601"/>
      <c r="J1" s="601"/>
      <c r="K1" s="601"/>
      <c r="L1" s="601"/>
      <c r="M1" s="601"/>
      <c r="N1" s="601"/>
      <c r="O1" s="602"/>
      <c r="P1" s="602"/>
      <c r="Q1" s="602"/>
      <c r="R1" s="602"/>
    </row>
    <row r="2" spans="1:18" ht="18" thickBot="1" x14ac:dyDescent="0.3">
      <c r="A2" s="601"/>
      <c r="B2" s="604" t="s">
        <v>120</v>
      </c>
      <c r="C2" s="1066" t="s">
        <v>121</v>
      </c>
      <c r="D2" s="1066"/>
      <c r="E2" s="1066"/>
      <c r="F2" s="1066"/>
      <c r="G2" s="1066"/>
      <c r="H2" s="1066"/>
      <c r="I2" s="1066"/>
      <c r="J2" s="1067"/>
      <c r="K2" s="601"/>
      <c r="L2" s="1032" t="s">
        <v>122</v>
      </c>
      <c r="M2" s="1033"/>
      <c r="N2" s="1038" t="s">
        <v>123</v>
      </c>
      <c r="O2" s="1039"/>
      <c r="P2" s="1040"/>
      <c r="Q2" s="602"/>
      <c r="R2" s="602"/>
    </row>
    <row r="3" spans="1:18" ht="18" customHeight="1" x14ac:dyDescent="0.25">
      <c r="A3" s="601"/>
      <c r="B3" s="1034" t="s">
        <v>124</v>
      </c>
      <c r="C3" s="1035"/>
      <c r="D3" s="1080" t="s">
        <v>125</v>
      </c>
      <c r="E3" s="1080"/>
      <c r="F3" s="1080"/>
      <c r="G3" s="1080"/>
      <c r="H3" s="1080"/>
      <c r="I3" s="1080"/>
      <c r="J3" s="1081"/>
      <c r="K3" s="601"/>
      <c r="L3" s="1034" t="s">
        <v>126</v>
      </c>
      <c r="M3" s="1035"/>
      <c r="N3" s="1041" t="s">
        <v>127</v>
      </c>
      <c r="O3" s="1042"/>
      <c r="P3" s="1043"/>
      <c r="Q3" s="602"/>
      <c r="R3" s="602"/>
    </row>
    <row r="4" spans="1:18" ht="18" customHeight="1" thickBot="1" x14ac:dyDescent="0.3">
      <c r="A4" s="601"/>
      <c r="B4" s="1036" t="s">
        <v>128</v>
      </c>
      <c r="C4" s="1037"/>
      <c r="D4" s="1082">
        <v>12345678</v>
      </c>
      <c r="E4" s="1082"/>
      <c r="F4" s="1082"/>
      <c r="G4" s="1082"/>
      <c r="H4" s="1082"/>
      <c r="I4" s="1082"/>
      <c r="J4" s="1083"/>
      <c r="K4" s="601"/>
      <c r="L4" s="1034" t="s">
        <v>129</v>
      </c>
      <c r="M4" s="1035"/>
      <c r="N4" s="1041" t="s">
        <v>130</v>
      </c>
      <c r="O4" s="1042"/>
      <c r="P4" s="1043"/>
      <c r="Q4" s="602"/>
      <c r="R4" s="602"/>
    </row>
    <row r="5" spans="1:18" ht="15.75" thickBot="1" x14ac:dyDescent="0.3">
      <c r="A5" s="602"/>
      <c r="B5" s="601"/>
      <c r="C5" s="601"/>
      <c r="D5" s="601"/>
      <c r="E5" s="601"/>
      <c r="F5" s="601"/>
      <c r="G5" s="601"/>
      <c r="H5" s="601"/>
      <c r="I5" s="601"/>
      <c r="J5" s="601"/>
      <c r="K5" s="601"/>
      <c r="L5" s="1036" t="s">
        <v>131</v>
      </c>
      <c r="M5" s="1037"/>
      <c r="N5" s="1044" t="s">
        <v>132</v>
      </c>
      <c r="O5" s="1045"/>
      <c r="P5" s="1046"/>
      <c r="Q5" s="602"/>
      <c r="R5" s="602"/>
    </row>
    <row r="6" spans="1:18" ht="18" customHeight="1" thickBot="1" x14ac:dyDescent="0.3">
      <c r="A6" s="602"/>
      <c r="B6" s="605" t="s">
        <v>133</v>
      </c>
      <c r="C6" s="1068" t="s">
        <v>134</v>
      </c>
      <c r="D6" s="1068"/>
      <c r="E6" s="1068"/>
      <c r="F6" s="1068"/>
      <c r="G6" s="1068"/>
      <c r="H6" s="1068"/>
      <c r="I6" s="1068"/>
      <c r="J6" s="1069"/>
      <c r="K6" s="601"/>
      <c r="L6" s="601"/>
      <c r="M6" s="601"/>
      <c r="N6" s="601"/>
      <c r="O6" s="602"/>
      <c r="P6" s="602"/>
      <c r="Q6" s="602"/>
      <c r="R6" s="602"/>
    </row>
    <row r="7" spans="1:18" ht="12" customHeight="1" thickBot="1" x14ac:dyDescent="0.3">
      <c r="A7" s="602"/>
      <c r="B7" s="606"/>
      <c r="C7" s="607"/>
      <c r="D7" s="608"/>
      <c r="E7" s="607"/>
      <c r="F7" s="607"/>
      <c r="G7" s="607"/>
      <c r="H7" s="607"/>
      <c r="I7" s="607"/>
      <c r="J7" s="609"/>
      <c r="K7" s="601"/>
      <c r="L7" s="601"/>
      <c r="M7" s="601"/>
      <c r="N7" s="601"/>
      <c r="O7" s="602"/>
      <c r="P7" s="602"/>
      <c r="Q7" s="602"/>
      <c r="R7" s="602"/>
    </row>
    <row r="8" spans="1:18" ht="20.100000000000001" customHeight="1" thickBot="1" x14ac:dyDescent="0.3">
      <c r="A8" s="602"/>
      <c r="B8" s="1056" t="s">
        <v>135</v>
      </c>
      <c r="C8" s="1057"/>
      <c r="D8" s="1057"/>
      <c r="E8" s="1057"/>
      <c r="F8" s="1057"/>
      <c r="G8" s="1057"/>
      <c r="H8" s="610"/>
      <c r="I8" s="611" t="str">
        <f>+IF(I9&lt;&gt;0,"FAIL","PASS")</f>
        <v>PASS</v>
      </c>
      <c r="J8" s="612"/>
      <c r="K8" s="601"/>
      <c r="L8" s="601"/>
      <c r="M8" s="601"/>
      <c r="N8" s="601"/>
      <c r="O8" s="602"/>
      <c r="P8" s="602"/>
      <c r="Q8" s="602"/>
      <c r="R8" s="602"/>
    </row>
    <row r="9" spans="1:18" ht="18" customHeight="1" x14ac:dyDescent="0.25">
      <c r="A9" s="602"/>
      <c r="B9" s="1072" t="s">
        <v>136</v>
      </c>
      <c r="C9" s="1073"/>
      <c r="D9" s="1073"/>
      <c r="E9" s="1073"/>
      <c r="F9" s="1073"/>
      <c r="G9" s="1073"/>
      <c r="H9" s="613"/>
      <c r="I9" s="614">
        <f>+I52</f>
        <v>0</v>
      </c>
      <c r="J9" s="612"/>
      <c r="K9" s="601"/>
      <c r="L9" s="601"/>
      <c r="M9" s="601"/>
      <c r="N9" s="601"/>
      <c r="O9" s="602"/>
      <c r="P9" s="602"/>
      <c r="Q9" s="602"/>
      <c r="R9" s="602"/>
    </row>
    <row r="10" spans="1:18" ht="18" customHeight="1" x14ac:dyDescent="0.25">
      <c r="A10" s="602"/>
      <c r="B10" s="1054" t="s">
        <v>137</v>
      </c>
      <c r="C10" s="1055"/>
      <c r="D10" s="1055"/>
      <c r="E10" s="1055"/>
      <c r="F10" s="1055"/>
      <c r="G10" s="1055"/>
      <c r="H10" s="615"/>
      <c r="I10" s="616" t="s">
        <v>138</v>
      </c>
      <c r="J10" s="612"/>
      <c r="K10" s="601"/>
      <c r="L10" s="601"/>
      <c r="M10" s="601"/>
      <c r="N10" s="601"/>
      <c r="O10" s="602"/>
      <c r="P10" s="602"/>
      <c r="Q10" s="602"/>
      <c r="R10" s="602"/>
    </row>
    <row r="11" spans="1:18" ht="15.75" thickBot="1" x14ac:dyDescent="0.3">
      <c r="A11" s="602"/>
      <c r="B11" s="617"/>
      <c r="C11" s="610"/>
      <c r="D11" s="618"/>
      <c r="E11" s="610"/>
      <c r="F11" s="610"/>
      <c r="G11" s="610"/>
      <c r="H11" s="610"/>
      <c r="I11" s="610"/>
      <c r="J11" s="612"/>
      <c r="K11" s="601"/>
      <c r="L11" s="601"/>
      <c r="M11" s="601"/>
      <c r="N11" s="601"/>
      <c r="O11" s="602"/>
      <c r="P11" s="602"/>
      <c r="Q11" s="602"/>
      <c r="R11" s="602"/>
    </row>
    <row r="12" spans="1:18" ht="20.100000000000001" customHeight="1" thickBot="1" x14ac:dyDescent="0.3">
      <c r="A12" s="602"/>
      <c r="B12" s="1056" t="s">
        <v>139</v>
      </c>
      <c r="C12" s="1057"/>
      <c r="D12" s="1057"/>
      <c r="E12" s="1057"/>
      <c r="F12" s="1057"/>
      <c r="G12" s="1057"/>
      <c r="H12" s="619"/>
      <c r="I12" s="611" t="str">
        <f>+IF(I13&lt;&gt;0,"FAIL","PASS")</f>
        <v>FAIL</v>
      </c>
      <c r="J12" s="612"/>
      <c r="K12" s="601"/>
      <c r="L12" s="601"/>
      <c r="M12" s="601"/>
      <c r="N12" s="601"/>
      <c r="O12" s="602"/>
      <c r="P12" s="602"/>
      <c r="Q12" s="602"/>
      <c r="R12" s="602"/>
    </row>
    <row r="13" spans="1:18" ht="18" customHeight="1" x14ac:dyDescent="0.25">
      <c r="A13" s="602"/>
      <c r="B13" s="1072" t="s">
        <v>136</v>
      </c>
      <c r="C13" s="1073"/>
      <c r="D13" s="1073"/>
      <c r="E13" s="1073"/>
      <c r="F13" s="1073"/>
      <c r="G13" s="1073"/>
      <c r="H13" s="620"/>
      <c r="I13" s="614">
        <f>+I68</f>
        <v>10</v>
      </c>
      <c r="J13" s="612"/>
      <c r="K13" s="601"/>
      <c r="L13" s="601"/>
      <c r="M13" s="601"/>
      <c r="N13" s="601"/>
      <c r="O13" s="602"/>
      <c r="P13" s="602"/>
      <c r="Q13" s="602"/>
      <c r="R13" s="602"/>
    </row>
    <row r="14" spans="1:18" ht="18" customHeight="1" thickBot="1" x14ac:dyDescent="0.3">
      <c r="A14" s="602"/>
      <c r="B14" s="1074" t="s">
        <v>137</v>
      </c>
      <c r="C14" s="1075"/>
      <c r="D14" s="1075"/>
      <c r="E14" s="1075"/>
      <c r="F14" s="1075"/>
      <c r="G14" s="1075"/>
      <c r="H14" s="621"/>
      <c r="I14" s="616" t="s">
        <v>138</v>
      </c>
      <c r="J14" s="612"/>
      <c r="K14" s="601"/>
      <c r="L14" s="601"/>
      <c r="M14" s="601"/>
      <c r="N14" s="601"/>
      <c r="O14" s="602"/>
      <c r="P14" s="602"/>
      <c r="Q14" s="602"/>
      <c r="R14" s="602"/>
    </row>
    <row r="15" spans="1:18" ht="15" customHeight="1" thickBot="1" x14ac:dyDescent="0.3">
      <c r="A15" s="602"/>
      <c r="B15" s="622"/>
      <c r="C15" s="623"/>
      <c r="D15" s="623"/>
      <c r="E15" s="623"/>
      <c r="F15" s="623"/>
      <c r="G15" s="623"/>
      <c r="H15" s="624"/>
      <c r="I15" s="625"/>
      <c r="J15" s="626"/>
      <c r="K15" s="601"/>
      <c r="L15" s="601"/>
      <c r="M15" s="601"/>
      <c r="N15" s="601"/>
      <c r="O15" s="602"/>
      <c r="P15" s="602"/>
      <c r="Q15" s="602"/>
      <c r="R15" s="602"/>
    </row>
    <row r="16" spans="1:18" ht="20.100000000000001" customHeight="1" thickBot="1" x14ac:dyDescent="0.3">
      <c r="A16" s="602"/>
      <c r="B16" s="1076" t="s">
        <v>140</v>
      </c>
      <c r="C16" s="1059"/>
      <c r="D16" s="1059"/>
      <c r="E16" s="1059"/>
      <c r="F16" s="1059"/>
      <c r="G16" s="1059"/>
      <c r="H16" s="627"/>
      <c r="I16" s="628" t="str">
        <f>+IF(I12="FAIL","REQUIRED","NO")</f>
        <v>REQUIRED</v>
      </c>
      <c r="J16" s="629"/>
      <c r="K16" s="601"/>
      <c r="L16" s="601"/>
      <c r="M16" s="601"/>
      <c r="N16" s="601"/>
      <c r="O16" s="602"/>
      <c r="P16" s="602"/>
      <c r="Q16" s="602"/>
      <c r="R16" s="602"/>
    </row>
    <row r="17" spans="1:18" ht="20.100000000000001" customHeight="1" x14ac:dyDescent="0.25">
      <c r="A17" s="602"/>
      <c r="B17" s="630"/>
      <c r="C17" s="631"/>
      <c r="D17" s="631"/>
      <c r="E17" s="1079" t="s">
        <v>141</v>
      </c>
      <c r="F17" s="1079"/>
      <c r="G17" s="1079"/>
      <c r="H17" s="1079"/>
      <c r="I17" s="1079"/>
      <c r="J17" s="629"/>
      <c r="K17" s="601"/>
      <c r="L17" s="601"/>
      <c r="M17" s="601"/>
      <c r="N17" s="601"/>
      <c r="O17" s="602"/>
      <c r="P17" s="602"/>
      <c r="Q17" s="602"/>
      <c r="R17" s="602"/>
    </row>
    <row r="18" spans="1:18" ht="12" customHeight="1" thickBot="1" x14ac:dyDescent="0.3">
      <c r="A18" s="602"/>
      <c r="B18" s="1077"/>
      <c r="C18" s="1078"/>
      <c r="D18" s="1078"/>
      <c r="E18" s="1078"/>
      <c r="F18" s="1078"/>
      <c r="G18" s="1078"/>
      <c r="H18" s="1078"/>
      <c r="I18" s="1078"/>
      <c r="J18" s="632"/>
      <c r="K18" s="601"/>
      <c r="L18" s="601"/>
      <c r="M18" s="601"/>
      <c r="N18" s="601"/>
      <c r="O18" s="602"/>
      <c r="P18" s="602"/>
      <c r="Q18" s="602"/>
      <c r="R18" s="602"/>
    </row>
    <row r="19" spans="1:18" ht="15.75" thickBot="1" x14ac:dyDescent="0.3">
      <c r="A19" s="602"/>
      <c r="B19" s="633"/>
      <c r="C19" s="601"/>
      <c r="D19" s="601"/>
      <c r="E19" s="601"/>
      <c r="F19" s="601"/>
      <c r="G19" s="601"/>
      <c r="H19" s="634" t="s">
        <v>142</v>
      </c>
      <c r="I19" s="635" t="s">
        <v>138</v>
      </c>
      <c r="J19" s="601"/>
      <c r="K19" s="601"/>
      <c r="L19" s="601"/>
      <c r="M19" s="601"/>
      <c r="N19" s="601"/>
      <c r="O19" s="602"/>
      <c r="P19" s="602"/>
      <c r="Q19" s="602"/>
      <c r="R19" s="602"/>
    </row>
    <row r="20" spans="1:18" ht="20.100000000000001" customHeight="1" thickBot="1" x14ac:dyDescent="0.3">
      <c r="A20" s="602"/>
      <c r="B20" s="636" t="s">
        <v>143</v>
      </c>
      <c r="C20" s="1066" t="s">
        <v>144</v>
      </c>
      <c r="D20" s="1066"/>
      <c r="E20" s="1066"/>
      <c r="F20" s="1066"/>
      <c r="G20" s="1066"/>
      <c r="H20" s="1066"/>
      <c r="I20" s="1066"/>
      <c r="J20" s="1067"/>
      <c r="K20" s="601"/>
      <c r="L20" s="601"/>
      <c r="M20" s="601"/>
      <c r="N20" s="601"/>
      <c r="O20" s="602"/>
      <c r="P20" s="602"/>
      <c r="Q20" s="602"/>
      <c r="R20" s="602"/>
    </row>
    <row r="21" spans="1:18" ht="12" customHeight="1" x14ac:dyDescent="0.25">
      <c r="A21" s="602"/>
      <c r="B21" s="637"/>
      <c r="C21" s="638"/>
      <c r="D21" s="494"/>
      <c r="E21" s="638"/>
      <c r="F21" s="638"/>
      <c r="G21" s="638"/>
      <c r="H21" s="638"/>
      <c r="I21" s="638"/>
      <c r="J21" s="639"/>
      <c r="K21" s="601"/>
      <c r="L21" s="601"/>
      <c r="M21" s="601"/>
      <c r="N21" s="601"/>
      <c r="O21" s="602"/>
      <c r="P21" s="602"/>
      <c r="Q21" s="602"/>
      <c r="R21" s="602"/>
    </row>
    <row r="22" spans="1:18" ht="30" customHeight="1" x14ac:dyDescent="0.25">
      <c r="A22" s="602"/>
      <c r="B22" s="637"/>
      <c r="C22" s="640" t="s">
        <v>145</v>
      </c>
      <c r="D22" s="641"/>
      <c r="E22" s="640" t="s">
        <v>146</v>
      </c>
      <c r="F22" s="641"/>
      <c r="G22" s="640" t="s">
        <v>147</v>
      </c>
      <c r="H22" s="642"/>
      <c r="I22" s="642"/>
      <c r="J22" s="643"/>
      <c r="K22" s="601"/>
      <c r="L22" s="601"/>
      <c r="M22" s="601"/>
      <c r="N22" s="601"/>
      <c r="O22" s="602"/>
      <c r="P22" s="602"/>
      <c r="Q22" s="602"/>
      <c r="R22" s="602"/>
    </row>
    <row r="23" spans="1:18" ht="15.95" customHeight="1" x14ac:dyDescent="0.25">
      <c r="A23" s="602"/>
      <c r="B23" s="637"/>
      <c r="C23" s="335">
        <v>12000000</v>
      </c>
      <c r="D23" s="644"/>
      <c r="E23" s="336">
        <v>3.4000000000000002E-2</v>
      </c>
      <c r="F23" s="644"/>
      <c r="G23" s="337">
        <v>35</v>
      </c>
      <c r="H23" s="642"/>
      <c r="I23" s="642"/>
      <c r="J23" s="643"/>
      <c r="K23" s="601"/>
      <c r="L23" s="602"/>
      <c r="M23" s="602"/>
      <c r="N23" s="602"/>
      <c r="O23" s="602"/>
      <c r="P23" s="602"/>
      <c r="Q23" s="602"/>
      <c r="R23" s="602"/>
    </row>
    <row r="24" spans="1:18" ht="15.95" customHeight="1" x14ac:dyDescent="0.25">
      <c r="A24" s="602"/>
      <c r="B24" s="645"/>
      <c r="C24" s="646"/>
      <c r="D24" s="647"/>
      <c r="E24" s="648"/>
      <c r="F24" s="649"/>
      <c r="G24" s="650"/>
      <c r="H24" s="644"/>
      <c r="I24" s="644"/>
      <c r="J24" s="643"/>
      <c r="K24" s="601"/>
      <c r="L24" s="602"/>
      <c r="M24" s="602"/>
      <c r="N24" s="602"/>
      <c r="O24" s="602"/>
      <c r="P24" s="602"/>
      <c r="Q24" s="602"/>
      <c r="R24" s="602"/>
    </row>
    <row r="25" spans="1:18" ht="15.95" customHeight="1" x14ac:dyDescent="0.25">
      <c r="A25" s="602"/>
      <c r="B25" s="637"/>
      <c r="C25" s="644"/>
      <c r="D25" s="651"/>
      <c r="E25" s="651"/>
      <c r="F25" s="644"/>
      <c r="G25" s="644"/>
      <c r="H25" s="644"/>
      <c r="I25" s="644"/>
      <c r="J25" s="643"/>
      <c r="K25" s="601"/>
      <c r="L25" s="602"/>
      <c r="M25" s="602"/>
      <c r="N25" s="602"/>
      <c r="O25" s="602"/>
      <c r="P25" s="602"/>
      <c r="Q25" s="602"/>
      <c r="R25" s="602"/>
    </row>
    <row r="26" spans="1:18" ht="30" customHeight="1" x14ac:dyDescent="0.25">
      <c r="A26" s="602"/>
      <c r="B26" s="637"/>
      <c r="C26" s="1084" t="s">
        <v>148</v>
      </c>
      <c r="D26" s="1084"/>
      <c r="E26" s="1084"/>
      <c r="F26" s="638"/>
      <c r="G26" s="640" t="s">
        <v>149</v>
      </c>
      <c r="H26" s="642"/>
      <c r="I26" s="642"/>
      <c r="J26" s="643"/>
      <c r="K26" s="601"/>
      <c r="L26" s="602"/>
      <c r="M26" s="602"/>
      <c r="N26" s="602"/>
      <c r="O26" s="602"/>
      <c r="P26" s="602"/>
      <c r="Q26" s="602"/>
      <c r="R26" s="602"/>
    </row>
    <row r="27" spans="1:18" ht="15.95" customHeight="1" x14ac:dyDescent="0.25">
      <c r="A27" s="602"/>
      <c r="B27" s="637"/>
      <c r="C27" s="644"/>
      <c r="D27" s="494"/>
      <c r="E27" s="346">
        <v>0.5</v>
      </c>
      <c r="F27" s="652"/>
      <c r="G27" s="347">
        <v>43191</v>
      </c>
      <c r="H27" s="642"/>
      <c r="I27" s="642"/>
      <c r="J27" s="643"/>
      <c r="K27" s="601"/>
      <c r="L27" s="602"/>
      <c r="M27" s="602"/>
      <c r="N27" s="602"/>
      <c r="O27" s="602"/>
      <c r="P27" s="602"/>
      <c r="Q27" s="602"/>
      <c r="R27" s="602"/>
    </row>
    <row r="28" spans="1:18" ht="15.95" customHeight="1" x14ac:dyDescent="0.25">
      <c r="A28" s="602"/>
      <c r="B28" s="645"/>
      <c r="C28" s="644"/>
      <c r="D28" s="494"/>
      <c r="E28" s="644"/>
      <c r="F28" s="652"/>
      <c r="G28" s="653"/>
      <c r="H28" s="642"/>
      <c r="I28" s="642"/>
      <c r="J28" s="643"/>
      <c r="K28" s="601"/>
      <c r="L28" s="602"/>
      <c r="M28" s="602"/>
      <c r="N28" s="602"/>
      <c r="O28" s="602"/>
      <c r="P28" s="602"/>
      <c r="Q28" s="602"/>
      <c r="R28" s="602"/>
    </row>
    <row r="29" spans="1:18" ht="12" customHeight="1" thickBot="1" x14ac:dyDescent="0.3">
      <c r="A29" s="602"/>
      <c r="B29" s="654" t="str">
        <f>+'eTool Data'!E1</f>
        <v>Sample Project</v>
      </c>
      <c r="C29" s="655"/>
      <c r="D29" s="655"/>
      <c r="E29" s="655"/>
      <c r="F29" s="655"/>
      <c r="G29" s="655"/>
      <c r="H29" s="655"/>
      <c r="I29" s="655"/>
      <c r="J29" s="656"/>
      <c r="K29" s="601"/>
      <c r="L29" s="602"/>
      <c r="M29" s="602"/>
      <c r="N29" s="602"/>
      <c r="O29" s="602"/>
      <c r="P29" s="602"/>
      <c r="Q29" s="602"/>
      <c r="R29" s="602"/>
    </row>
    <row r="30" spans="1:18" ht="15" customHeight="1" thickBot="1" x14ac:dyDescent="0.3">
      <c r="A30" s="602"/>
      <c r="B30" s="657">
        <f>+'eTool Data'!G1</f>
        <v>43073</v>
      </c>
      <c r="C30" s="658">
        <f>+'eTool Data'!H1</f>
        <v>12000000</v>
      </c>
      <c r="D30" s="601"/>
      <c r="E30" s="659">
        <f>+'eTool Data'!I1</f>
        <v>3.4000000000000002E-2</v>
      </c>
      <c r="F30" s="601"/>
      <c r="G30" s="660">
        <f>+'eTool Data'!J1</f>
        <v>35</v>
      </c>
      <c r="H30" s="601"/>
      <c r="I30" s="657">
        <f>+'eTool Data'!K1</f>
        <v>43191</v>
      </c>
      <c r="J30" s="601"/>
      <c r="K30" s="601"/>
      <c r="L30" s="602"/>
      <c r="M30" s="602"/>
      <c r="N30" s="602"/>
      <c r="O30" s="602"/>
      <c r="P30" s="602"/>
      <c r="Q30" s="602"/>
      <c r="R30" s="602"/>
    </row>
    <row r="31" spans="1:18" ht="20.100000000000001" customHeight="1" thickBot="1" x14ac:dyDescent="0.3">
      <c r="A31" s="602"/>
      <c r="B31" s="605" t="s">
        <v>150</v>
      </c>
      <c r="C31" s="1068" t="s">
        <v>151</v>
      </c>
      <c r="D31" s="1068"/>
      <c r="E31" s="1068"/>
      <c r="F31" s="1068"/>
      <c r="G31" s="1068"/>
      <c r="H31" s="1068"/>
      <c r="I31" s="1068"/>
      <c r="J31" s="1069"/>
      <c r="K31" s="601"/>
      <c r="L31" s="602"/>
      <c r="M31" s="602"/>
      <c r="N31" s="602"/>
      <c r="O31" s="602"/>
      <c r="P31" s="602"/>
      <c r="Q31" s="602"/>
      <c r="R31" s="602"/>
    </row>
    <row r="32" spans="1:18" ht="12" customHeight="1" thickBot="1" x14ac:dyDescent="0.3">
      <c r="A32" s="602"/>
      <c r="B32" s="617"/>
      <c r="C32" s="610"/>
      <c r="D32" s="618"/>
      <c r="E32" s="610"/>
      <c r="F32" s="610"/>
      <c r="G32" s="610"/>
      <c r="H32" s="661"/>
      <c r="I32" s="662"/>
      <c r="J32" s="612"/>
      <c r="K32" s="601"/>
      <c r="L32" s="602"/>
      <c r="M32" s="602"/>
      <c r="N32" s="602"/>
      <c r="O32" s="602"/>
      <c r="P32" s="602"/>
      <c r="Q32" s="602"/>
      <c r="R32" s="602"/>
    </row>
    <row r="33" spans="1:23" ht="20.100000000000001" customHeight="1" thickBot="1" x14ac:dyDescent="0.3">
      <c r="A33" s="602"/>
      <c r="B33" s="1060" t="s">
        <v>152</v>
      </c>
      <c r="C33" s="1061"/>
      <c r="D33" s="1061"/>
      <c r="E33" s="1061"/>
      <c r="F33" s="1061"/>
      <c r="G33" s="1061"/>
      <c r="H33" s="661"/>
      <c r="I33" s="611" t="str">
        <f>+IF(I34&lt;&gt;0,"FAIL","PASS")</f>
        <v>PASS</v>
      </c>
      <c r="J33" s="612"/>
      <c r="K33" s="601"/>
      <c r="L33" s="602"/>
      <c r="M33" s="602"/>
      <c r="N33" s="602"/>
      <c r="O33" s="602"/>
      <c r="P33" s="602"/>
      <c r="Q33" s="602"/>
      <c r="R33" s="602"/>
      <c r="S33" s="663"/>
      <c r="T33" s="663"/>
      <c r="U33" s="663"/>
      <c r="V33" s="663"/>
      <c r="W33" s="663"/>
    </row>
    <row r="34" spans="1:23" ht="18" customHeight="1" x14ac:dyDescent="0.25">
      <c r="A34" s="602"/>
      <c r="B34" s="1070" t="s">
        <v>136</v>
      </c>
      <c r="C34" s="1071"/>
      <c r="D34" s="1071"/>
      <c r="E34" s="1071"/>
      <c r="F34" s="1071"/>
      <c r="G34" s="1071"/>
      <c r="H34" s="613"/>
      <c r="I34" s="614">
        <f>+I84</f>
        <v>0</v>
      </c>
      <c r="J34" s="612"/>
      <c r="K34" s="601"/>
      <c r="L34" s="602"/>
      <c r="M34" s="602"/>
      <c r="N34" s="602"/>
      <c r="O34" s="602"/>
      <c r="P34" s="602"/>
      <c r="Q34" s="602"/>
      <c r="R34" s="602"/>
      <c r="S34" s="663"/>
      <c r="T34" s="663"/>
      <c r="U34" s="663"/>
      <c r="V34" s="663"/>
      <c r="W34" s="663"/>
    </row>
    <row r="35" spans="1:23" ht="18" customHeight="1" thickBot="1" x14ac:dyDescent="0.3">
      <c r="A35" s="602"/>
      <c r="B35" s="664"/>
      <c r="C35" s="665"/>
      <c r="D35" s="665"/>
      <c r="E35" s="665"/>
      <c r="F35" s="665"/>
      <c r="G35" s="666" t="s">
        <v>137</v>
      </c>
      <c r="H35" s="667"/>
      <c r="I35" s="616" t="s">
        <v>138</v>
      </c>
      <c r="J35" s="612"/>
      <c r="K35" s="601"/>
      <c r="L35" s="602"/>
      <c r="M35" s="602"/>
      <c r="N35" s="602"/>
      <c r="O35" s="602"/>
      <c r="P35" s="602"/>
      <c r="Q35" s="602"/>
      <c r="R35" s="602"/>
      <c r="S35" s="663"/>
      <c r="T35" s="663"/>
      <c r="U35" s="663"/>
      <c r="V35" s="663"/>
      <c r="W35" s="663"/>
    </row>
    <row r="36" spans="1:23" ht="15" customHeight="1" thickBot="1" x14ac:dyDescent="0.3">
      <c r="A36" s="602"/>
      <c r="B36" s="668"/>
      <c r="C36" s="669"/>
      <c r="D36" s="669"/>
      <c r="E36" s="670"/>
      <c r="F36" s="670"/>
      <c r="G36" s="624"/>
      <c r="H36" s="671"/>
      <c r="I36" s="624"/>
      <c r="J36" s="626"/>
      <c r="K36" s="601"/>
      <c r="L36" s="602"/>
      <c r="M36" s="602"/>
      <c r="N36" s="602"/>
      <c r="O36" s="602"/>
      <c r="P36" s="602"/>
      <c r="Q36" s="602"/>
      <c r="R36" s="602"/>
      <c r="S36" s="663"/>
      <c r="T36" s="663"/>
      <c r="U36" s="663"/>
      <c r="V36" s="663"/>
      <c r="W36" s="663"/>
    </row>
    <row r="37" spans="1:23" ht="30" customHeight="1" thickBot="1" x14ac:dyDescent="0.3">
      <c r="A37" s="602"/>
      <c r="B37" s="1058" t="s">
        <v>153</v>
      </c>
      <c r="C37" s="1059"/>
      <c r="D37" s="1059"/>
      <c r="E37" s="1059"/>
      <c r="F37" s="1059"/>
      <c r="G37" s="1059"/>
      <c r="H37" s="672"/>
      <c r="I37" s="673" t="str">
        <f>+IF(AND(I8="FAIL",I12="FAIL",I33="FAIL"),"VIOLATION EXISTS",IF(AND(I8="PASS",I12="FAIL",I33="FAIL"),"VIOLATION EXISTS",IF(AND(I8="FAIL",I12="FAIL",I33="PASS"),"VIOLATION EXISTS",IF(AND(I8="FAIL",I12="PASS",I33="FAIL"),"VIOLATION EXISTS","REQUIREMENTS MET"))))</f>
        <v>REQUIREMENTS MET</v>
      </c>
      <c r="J37" s="629"/>
      <c r="K37" s="601"/>
      <c r="L37" s="602"/>
      <c r="M37" s="602"/>
      <c r="N37" s="602"/>
      <c r="O37" s="602"/>
      <c r="P37" s="602"/>
      <c r="Q37" s="602"/>
      <c r="R37" s="674"/>
      <c r="S37" s="663"/>
      <c r="T37" s="663"/>
      <c r="U37" s="663"/>
      <c r="V37" s="663"/>
      <c r="W37" s="663"/>
    </row>
    <row r="38" spans="1:23" ht="32.1" customHeight="1" x14ac:dyDescent="0.25">
      <c r="A38" s="602"/>
      <c r="B38" s="1062" t="s">
        <v>546</v>
      </c>
      <c r="C38" s="1063"/>
      <c r="D38" s="1063"/>
      <c r="E38" s="1063"/>
      <c r="F38" s="1063"/>
      <c r="G38" s="1063"/>
      <c r="H38" s="675"/>
      <c r="I38" s="676" t="s">
        <v>154</v>
      </c>
      <c r="J38" s="677"/>
      <c r="K38" s="601"/>
      <c r="L38" s="602"/>
      <c r="M38" s="602"/>
      <c r="N38" s="602"/>
      <c r="O38" s="602"/>
      <c r="P38" s="602"/>
      <c r="Q38" s="602"/>
      <c r="R38" s="674"/>
      <c r="S38" s="663"/>
      <c r="T38" s="663"/>
      <c r="U38" s="663"/>
      <c r="V38" s="663"/>
      <c r="W38" s="663"/>
    </row>
    <row r="39" spans="1:23" ht="9.9499999999999993" customHeight="1" x14ac:dyDescent="0.25">
      <c r="A39" s="602"/>
      <c r="B39" s="678"/>
      <c r="C39" s="679"/>
      <c r="D39" s="679"/>
      <c r="E39" s="679"/>
      <c r="F39" s="679"/>
      <c r="G39" s="679"/>
      <c r="H39" s="675"/>
      <c r="I39" s="680"/>
      <c r="J39" s="677"/>
      <c r="K39" s="601"/>
      <c r="L39" s="602"/>
      <c r="M39" s="602"/>
      <c r="N39" s="602"/>
      <c r="O39" s="602"/>
      <c r="P39" s="602"/>
      <c r="Q39" s="602"/>
      <c r="R39" s="674"/>
      <c r="S39" s="663"/>
      <c r="T39" s="663"/>
      <c r="U39" s="663"/>
      <c r="V39" s="663"/>
      <c r="W39" s="663"/>
    </row>
    <row r="40" spans="1:23" ht="45" customHeight="1" x14ac:dyDescent="0.25">
      <c r="A40" s="602"/>
      <c r="B40" s="1064" t="s">
        <v>547</v>
      </c>
      <c r="C40" s="1065"/>
      <c r="D40" s="1065"/>
      <c r="E40" s="1065"/>
      <c r="F40" s="1065"/>
      <c r="G40" s="1065"/>
      <c r="H40" s="681"/>
      <c r="I40" s="682" t="s">
        <v>155</v>
      </c>
      <c r="J40" s="683"/>
      <c r="K40" s="601"/>
      <c r="L40" s="602"/>
      <c r="M40" s="602"/>
      <c r="N40" s="602"/>
      <c r="O40" s="602"/>
      <c r="P40" s="602"/>
      <c r="Q40" s="602"/>
      <c r="R40" s="674"/>
      <c r="S40" s="663"/>
      <c r="T40" s="663"/>
      <c r="U40" s="663"/>
      <c r="V40" s="663"/>
      <c r="W40" s="663"/>
    </row>
    <row r="41" spans="1:23" ht="16.5" customHeight="1" thickBot="1" x14ac:dyDescent="0.3">
      <c r="A41" s="602"/>
      <c r="B41" s="684"/>
      <c r="C41" s="685"/>
      <c r="D41" s="685"/>
      <c r="E41" s="685"/>
      <c r="F41" s="685"/>
      <c r="G41" s="685"/>
      <c r="H41" s="685"/>
      <c r="I41" s="686" t="s">
        <v>156</v>
      </c>
      <c r="J41" s="687"/>
      <c r="K41" s="601"/>
      <c r="L41" s="602"/>
      <c r="M41" s="602"/>
      <c r="N41" s="602"/>
      <c r="O41" s="602"/>
      <c r="P41" s="602"/>
      <c r="Q41" s="602"/>
      <c r="R41" s="674"/>
      <c r="S41" s="663"/>
      <c r="T41" s="663"/>
      <c r="U41" s="663"/>
      <c r="V41" s="663"/>
      <c r="W41" s="663"/>
    </row>
    <row r="42" spans="1:23" ht="16.5" customHeight="1" x14ac:dyDescent="0.25">
      <c r="A42" s="602"/>
      <c r="B42" s="688"/>
      <c r="C42" s="688"/>
      <c r="D42" s="688"/>
      <c r="E42" s="688"/>
      <c r="F42" s="688"/>
      <c r="G42" s="688"/>
      <c r="H42" s="688"/>
      <c r="I42" s="688"/>
      <c r="J42" s="688"/>
      <c r="K42" s="601"/>
      <c r="L42" s="674"/>
      <c r="M42" s="674"/>
      <c r="N42" s="674"/>
      <c r="O42" s="674"/>
      <c r="P42" s="674"/>
      <c r="Q42" s="674"/>
      <c r="R42" s="674"/>
      <c r="S42" s="689"/>
      <c r="T42" s="689"/>
      <c r="U42" s="689"/>
      <c r="V42" s="663"/>
      <c r="W42" s="663"/>
    </row>
    <row r="43" spans="1:23" ht="16.5" customHeight="1" x14ac:dyDescent="0.25">
      <c r="A43" s="602"/>
      <c r="B43" s="688"/>
      <c r="C43" s="688"/>
      <c r="D43" s="688"/>
      <c r="E43" s="688"/>
      <c r="F43" s="688"/>
      <c r="G43" s="688"/>
      <c r="H43" s="688"/>
      <c r="I43" s="688"/>
      <c r="J43" s="602"/>
      <c r="K43" s="602"/>
      <c r="L43" s="674"/>
      <c r="M43" s="674"/>
      <c r="N43" s="674"/>
      <c r="O43" s="674"/>
      <c r="P43" s="674"/>
      <c r="Q43" s="674"/>
      <c r="R43" s="674"/>
      <c r="S43" s="689"/>
      <c r="T43" s="689"/>
      <c r="U43" s="689"/>
      <c r="V43" s="663"/>
      <c r="W43" s="663"/>
    </row>
    <row r="44" spans="1:23" ht="16.5" customHeight="1" x14ac:dyDescent="0.25">
      <c r="A44" s="602"/>
      <c r="B44" s="688"/>
      <c r="C44" s="688"/>
      <c r="D44" s="688"/>
      <c r="E44" s="688"/>
      <c r="F44" s="688"/>
      <c r="G44" s="688"/>
      <c r="H44" s="688"/>
      <c r="I44" s="688"/>
      <c r="J44" s="602"/>
      <c r="K44" s="601"/>
      <c r="L44" s="674"/>
      <c r="M44" s="674"/>
      <c r="N44" s="674"/>
      <c r="O44" s="674"/>
      <c r="P44" s="674"/>
      <c r="Q44" s="674"/>
      <c r="R44" s="674"/>
      <c r="S44" s="689"/>
      <c r="T44" s="689"/>
      <c r="U44" s="689"/>
      <c r="V44" s="663"/>
      <c r="W44" s="663"/>
    </row>
    <row r="45" spans="1:23" ht="16.5" customHeight="1" x14ac:dyDescent="0.25">
      <c r="A45" s="602"/>
      <c r="B45" s="688"/>
      <c r="C45" s="688"/>
      <c r="D45" s="688"/>
      <c r="E45" s="688"/>
      <c r="F45" s="688"/>
      <c r="G45" s="688"/>
      <c r="H45" s="688"/>
      <c r="I45" s="688"/>
      <c r="J45" s="602"/>
      <c r="K45" s="601"/>
      <c r="L45" s="1047"/>
      <c r="M45" s="1047"/>
      <c r="N45" s="674"/>
      <c r="O45" s="690"/>
      <c r="P45" s="690"/>
      <c r="Q45" s="674"/>
      <c r="R45" s="690"/>
      <c r="S45" s="691"/>
      <c r="T45" s="689"/>
      <c r="U45" s="689"/>
      <c r="V45" s="663"/>
      <c r="W45" s="663"/>
    </row>
    <row r="46" spans="1:23" ht="16.5" customHeight="1" x14ac:dyDescent="0.25">
      <c r="A46" s="602"/>
      <c r="B46" s="688"/>
      <c r="C46" s="688"/>
      <c r="D46" s="688"/>
      <c r="E46" s="688"/>
      <c r="F46" s="688"/>
      <c r="G46" s="688"/>
      <c r="H46" s="688"/>
      <c r="I46" s="688"/>
      <c r="J46" s="602"/>
      <c r="K46" s="601"/>
      <c r="L46" s="674"/>
      <c r="M46" s="674"/>
      <c r="N46" s="674"/>
      <c r="O46" s="674"/>
      <c r="P46" s="674"/>
      <c r="Q46" s="674"/>
      <c r="R46" s="674"/>
      <c r="S46" s="689"/>
      <c r="T46" s="689"/>
      <c r="U46" s="689"/>
      <c r="V46" s="663"/>
      <c r="W46" s="663"/>
    </row>
    <row r="47" spans="1:23" ht="16.5" customHeight="1" x14ac:dyDescent="0.25">
      <c r="A47" s="602"/>
      <c r="B47" s="688"/>
      <c r="C47" s="688"/>
      <c r="D47" s="688"/>
      <c r="E47" s="688"/>
      <c r="F47" s="688"/>
      <c r="G47" s="688"/>
      <c r="H47" s="688"/>
      <c r="I47" s="688"/>
      <c r="J47" s="602"/>
      <c r="K47" s="601"/>
      <c r="L47" s="690"/>
      <c r="M47" s="690"/>
      <c r="N47" s="674"/>
      <c r="O47" s="674"/>
      <c r="P47" s="674"/>
      <c r="Q47" s="674"/>
      <c r="R47" s="674"/>
      <c r="S47" s="689"/>
      <c r="T47" s="689"/>
      <c r="U47" s="689"/>
      <c r="V47" s="663"/>
      <c r="W47" s="663"/>
    </row>
    <row r="48" spans="1:23" ht="16.5" customHeight="1" x14ac:dyDescent="0.25">
      <c r="A48" s="602"/>
      <c r="B48" s="688"/>
      <c r="C48" s="688"/>
      <c r="D48" s="688"/>
      <c r="E48" s="688"/>
      <c r="F48" s="688"/>
      <c r="G48" s="688"/>
      <c r="H48" s="688"/>
      <c r="I48" s="688"/>
      <c r="J48" s="602"/>
      <c r="K48" s="601"/>
      <c r="L48" s="674"/>
      <c r="M48" s="674"/>
      <c r="N48" s="674"/>
      <c r="O48" s="674"/>
      <c r="P48" s="674"/>
      <c r="Q48" s="674"/>
      <c r="R48" s="674"/>
      <c r="S48" s="689"/>
      <c r="T48" s="689"/>
      <c r="U48" s="689"/>
      <c r="V48" s="663"/>
      <c r="W48" s="663"/>
    </row>
    <row r="49" spans="1:23" ht="16.5" customHeight="1" thickBot="1" x14ac:dyDescent="0.3">
      <c r="A49" s="601"/>
      <c r="B49" s="688"/>
      <c r="C49" s="688"/>
      <c r="D49" s="688"/>
      <c r="E49" s="688"/>
      <c r="F49" s="688"/>
      <c r="G49" s="688"/>
      <c r="H49" s="688"/>
      <c r="I49" s="688"/>
      <c r="J49" s="601"/>
      <c r="K49" s="601"/>
      <c r="L49" s="692"/>
      <c r="M49" s="674"/>
      <c r="N49" s="674"/>
      <c r="O49" s="674"/>
      <c r="P49" s="674"/>
      <c r="Q49" s="674"/>
      <c r="R49" s="674"/>
      <c r="S49" s="689"/>
      <c r="T49" s="689"/>
      <c r="U49" s="689"/>
      <c r="V49" s="663"/>
      <c r="W49" s="663"/>
    </row>
    <row r="50" spans="1:23" ht="15" customHeight="1" thickBot="1" x14ac:dyDescent="0.3">
      <c r="A50" s="601"/>
      <c r="B50" s="693"/>
      <c r="C50" s="694"/>
      <c r="D50" s="694"/>
      <c r="E50" s="694"/>
      <c r="F50" s="694"/>
      <c r="G50" s="695"/>
      <c r="H50" s="695"/>
      <c r="I50" s="694"/>
      <c r="J50" s="696"/>
      <c r="K50" s="601"/>
      <c r="L50" s="690"/>
      <c r="M50" s="690"/>
      <c r="N50" s="690"/>
      <c r="O50" s="697"/>
      <c r="P50" s="690"/>
      <c r="Q50" s="674"/>
      <c r="R50" s="674"/>
      <c r="S50" s="689"/>
      <c r="T50" s="689"/>
      <c r="U50" s="689"/>
      <c r="V50" s="663"/>
      <c r="W50" s="663"/>
    </row>
    <row r="51" spans="1:23" x14ac:dyDescent="0.25">
      <c r="A51" s="601"/>
      <c r="B51" s="617"/>
      <c r="C51" s="1050" t="s">
        <v>157</v>
      </c>
      <c r="D51" s="1051"/>
      <c r="E51" s="1051"/>
      <c r="F51" s="1051"/>
      <c r="G51" s="1052"/>
      <c r="H51" s="698"/>
      <c r="I51" s="699" t="s">
        <v>158</v>
      </c>
      <c r="J51" s="700"/>
      <c r="K51" s="601"/>
      <c r="L51" s="674"/>
      <c r="M51" s="674"/>
      <c r="N51" s="674"/>
      <c r="O51" s="701"/>
      <c r="P51" s="690"/>
      <c r="Q51" s="674"/>
      <c r="R51" s="690"/>
      <c r="S51" s="691"/>
      <c r="T51" s="689"/>
      <c r="U51" s="689"/>
      <c r="V51" s="663"/>
      <c r="W51" s="663"/>
    </row>
    <row r="52" spans="1:23" ht="16.5" thickBot="1" x14ac:dyDescent="0.3">
      <c r="A52" s="601"/>
      <c r="B52" s="702"/>
      <c r="C52" s="619"/>
      <c r="D52" s="619"/>
      <c r="E52" s="619"/>
      <c r="F52" s="619"/>
      <c r="G52" s="703"/>
      <c r="H52" s="703"/>
      <c r="I52" s="704">
        <f>+COUNTIF(I54:I63,"Not OK")</f>
        <v>0</v>
      </c>
      <c r="J52" s="700"/>
      <c r="K52" s="601"/>
      <c r="L52" s="674"/>
      <c r="M52" s="692"/>
      <c r="N52" s="674"/>
      <c r="O52" s="674"/>
      <c r="P52" s="690"/>
      <c r="Q52" s="674"/>
      <c r="R52" s="674"/>
      <c r="S52" s="689"/>
      <c r="T52" s="689"/>
      <c r="U52" s="689"/>
      <c r="V52" s="663"/>
      <c r="W52" s="663"/>
    </row>
    <row r="53" spans="1:23" ht="42" customHeight="1" x14ac:dyDescent="0.25">
      <c r="A53" s="601"/>
      <c r="B53" s="705" t="s">
        <v>159</v>
      </c>
      <c r="C53" s="706" t="s">
        <v>160</v>
      </c>
      <c r="D53" s="619"/>
      <c r="E53" s="706" t="s">
        <v>161</v>
      </c>
      <c r="F53" s="619"/>
      <c r="G53" s="706" t="s">
        <v>162</v>
      </c>
      <c r="H53" s="707"/>
      <c r="I53" s="708" t="s">
        <v>163</v>
      </c>
      <c r="J53" s="700"/>
      <c r="K53" s="601"/>
      <c r="L53" s="674"/>
      <c r="M53" s="674"/>
      <c r="N53" s="674"/>
      <c r="O53" s="674"/>
      <c r="P53" s="674"/>
      <c r="Q53" s="674"/>
      <c r="R53" s="674"/>
      <c r="S53" s="689"/>
      <c r="T53" s="689"/>
      <c r="U53" s="689"/>
      <c r="V53" s="663"/>
      <c r="W53" s="663"/>
    </row>
    <row r="54" spans="1:23" x14ac:dyDescent="0.25">
      <c r="A54" s="601"/>
      <c r="B54" s="709">
        <f>+'Trial Deposits Engine'!H57</f>
        <v>1</v>
      </c>
      <c r="C54" s="710">
        <f>+'eTool Data Engine'!F17</f>
        <v>221800</v>
      </c>
      <c r="D54" s="619"/>
      <c r="E54" s="710">
        <f t="shared" ref="E54:E63" si="0">+E110</f>
        <v>50151</v>
      </c>
      <c r="F54" s="619"/>
      <c r="G54" s="711">
        <f>+C54-E54</f>
        <v>171649</v>
      </c>
      <c r="H54" s="712"/>
      <c r="I54" s="713" t="str">
        <f>+IF(C54&gt;=0,"OK","Not OK")</f>
        <v>OK</v>
      </c>
      <c r="J54" s="714"/>
      <c r="K54" s="602"/>
      <c r="L54" s="601"/>
      <c r="M54" s="601"/>
      <c r="N54" s="601"/>
      <c r="O54" s="601"/>
      <c r="P54" s="601"/>
      <c r="Q54" s="601"/>
      <c r="R54" s="601"/>
      <c r="S54" s="715"/>
      <c r="T54" s="715"/>
      <c r="U54" s="715"/>
      <c r="V54" s="715"/>
      <c r="W54" s="715"/>
    </row>
    <row r="55" spans="1:23" x14ac:dyDescent="0.25">
      <c r="A55" s="601"/>
      <c r="B55" s="709">
        <f>+'Trial Deposits Engine'!I57</f>
        <v>2</v>
      </c>
      <c r="C55" s="710">
        <f>+'eTool Data Engine'!G17</f>
        <v>230232</v>
      </c>
      <c r="D55" s="619"/>
      <c r="E55" s="710">
        <f t="shared" si="0"/>
        <v>51154</v>
      </c>
      <c r="F55" s="619"/>
      <c r="G55" s="711">
        <f t="shared" ref="G55:G63" si="1">+C55-E55</f>
        <v>179078</v>
      </c>
      <c r="H55" s="712"/>
      <c r="I55" s="713" t="str">
        <f>+IF(C55&gt;=0,"OK","Not OK")</f>
        <v>OK</v>
      </c>
      <c r="J55" s="714"/>
      <c r="K55" s="602"/>
      <c r="L55" s="601"/>
      <c r="M55" s="601"/>
      <c r="N55" s="601"/>
      <c r="O55" s="601"/>
      <c r="P55" s="601"/>
      <c r="Q55" s="601"/>
      <c r="R55" s="601"/>
      <c r="S55" s="715"/>
      <c r="T55" s="715"/>
      <c r="U55" s="715"/>
      <c r="V55" s="715"/>
      <c r="W55" s="715"/>
    </row>
    <row r="56" spans="1:23" ht="17.25" customHeight="1" x14ac:dyDescent="0.25">
      <c r="A56" s="601"/>
      <c r="B56" s="709">
        <f>+'Trial Deposits Engine'!J57</f>
        <v>3</v>
      </c>
      <c r="C56" s="710">
        <f>+'eTool Data Engine'!H17</f>
        <v>177388</v>
      </c>
      <c r="D56" s="619"/>
      <c r="E56" s="710">
        <f t="shared" si="0"/>
        <v>52177</v>
      </c>
      <c r="F56" s="619"/>
      <c r="G56" s="711">
        <f t="shared" si="1"/>
        <v>125211</v>
      </c>
      <c r="H56" s="712"/>
      <c r="I56" s="716" t="str">
        <f t="shared" ref="I56:I63" si="2">+IF(G56&gt;=0,"OK","Not OK")</f>
        <v>OK</v>
      </c>
      <c r="J56" s="714"/>
      <c r="K56" s="602"/>
      <c r="L56" s="601"/>
      <c r="M56" s="601"/>
      <c r="N56" s="601"/>
      <c r="O56" s="601"/>
      <c r="P56" s="601"/>
      <c r="Q56" s="601"/>
      <c r="R56" s="601"/>
      <c r="S56" s="715"/>
      <c r="T56" s="715"/>
      <c r="U56" s="715"/>
      <c r="V56" s="715"/>
      <c r="W56" s="715"/>
    </row>
    <row r="57" spans="1:23" x14ac:dyDescent="0.25">
      <c r="A57" s="601"/>
      <c r="B57" s="709">
        <f>+'Trial Deposits Engine'!K57</f>
        <v>4</v>
      </c>
      <c r="C57" s="710">
        <f>+'eTool Data Engine'!I17</f>
        <v>152219</v>
      </c>
      <c r="D57" s="619"/>
      <c r="E57" s="710">
        <f t="shared" si="0"/>
        <v>53220</v>
      </c>
      <c r="F57" s="619"/>
      <c r="G57" s="711">
        <f t="shared" si="1"/>
        <v>98999</v>
      </c>
      <c r="H57" s="712"/>
      <c r="I57" s="716" t="str">
        <f t="shared" si="2"/>
        <v>OK</v>
      </c>
      <c r="J57" s="714"/>
      <c r="K57" s="602"/>
      <c r="L57" s="601"/>
      <c r="M57" s="601"/>
      <c r="N57" s="601"/>
      <c r="O57" s="601"/>
      <c r="P57" s="601"/>
      <c r="Q57" s="601"/>
      <c r="R57" s="601"/>
      <c r="S57" s="715"/>
      <c r="T57" s="715"/>
      <c r="U57" s="715"/>
      <c r="V57" s="715"/>
      <c r="W57" s="715"/>
    </row>
    <row r="58" spans="1:23" x14ac:dyDescent="0.25">
      <c r="A58" s="601"/>
      <c r="B58" s="709">
        <f>+'Trial Deposits Engine'!L57</f>
        <v>5</v>
      </c>
      <c r="C58" s="710">
        <f>+'eTool Data Engine'!J17</f>
        <v>124373</v>
      </c>
      <c r="D58" s="619"/>
      <c r="E58" s="710">
        <f t="shared" si="0"/>
        <v>54285</v>
      </c>
      <c r="F58" s="619"/>
      <c r="G58" s="711">
        <f t="shared" si="1"/>
        <v>70088</v>
      </c>
      <c r="H58" s="712"/>
      <c r="I58" s="716" t="str">
        <f t="shared" si="2"/>
        <v>OK</v>
      </c>
      <c r="J58" s="714"/>
      <c r="K58" s="602"/>
      <c r="L58" s="601"/>
      <c r="M58" s="601"/>
      <c r="N58" s="601"/>
      <c r="O58" s="601"/>
      <c r="P58" s="601"/>
      <c r="Q58" s="601"/>
      <c r="R58" s="601"/>
      <c r="S58" s="715"/>
      <c r="T58" s="715"/>
      <c r="U58" s="715"/>
      <c r="V58" s="715"/>
      <c r="W58" s="715"/>
    </row>
    <row r="59" spans="1:23" x14ac:dyDescent="0.25">
      <c r="A59" s="601"/>
      <c r="B59" s="709">
        <f>+'Trial Deposits Engine'!M57</f>
        <v>6</v>
      </c>
      <c r="C59" s="710">
        <f>+'eTool Data Engine'!K17</f>
        <v>99258</v>
      </c>
      <c r="D59" s="619"/>
      <c r="E59" s="710">
        <f t="shared" si="0"/>
        <v>55370</v>
      </c>
      <c r="F59" s="619"/>
      <c r="G59" s="711">
        <f t="shared" si="1"/>
        <v>43888</v>
      </c>
      <c r="H59" s="712"/>
      <c r="I59" s="716" t="str">
        <f t="shared" si="2"/>
        <v>OK</v>
      </c>
      <c r="J59" s="714"/>
      <c r="K59" s="602"/>
      <c r="L59" s="601"/>
      <c r="M59" s="601"/>
      <c r="N59" s="601"/>
      <c r="O59" s="601"/>
      <c r="P59" s="601"/>
      <c r="Q59" s="601"/>
      <c r="R59" s="601"/>
      <c r="S59" s="715"/>
      <c r="T59" s="715"/>
      <c r="U59" s="715"/>
      <c r="V59" s="715"/>
      <c r="W59" s="715"/>
    </row>
    <row r="60" spans="1:23" x14ac:dyDescent="0.25">
      <c r="A60" s="601"/>
      <c r="B60" s="709">
        <f>+'Trial Deposits Engine'!N57</f>
        <v>7</v>
      </c>
      <c r="C60" s="710">
        <f>+'eTool Data Engine'!L17</f>
        <v>102679</v>
      </c>
      <c r="D60" s="619"/>
      <c r="E60" s="710">
        <f t="shared" si="0"/>
        <v>56478</v>
      </c>
      <c r="F60" s="619"/>
      <c r="G60" s="711">
        <f t="shared" si="1"/>
        <v>46201</v>
      </c>
      <c r="H60" s="712"/>
      <c r="I60" s="716" t="str">
        <f t="shared" si="2"/>
        <v>OK</v>
      </c>
      <c r="J60" s="714"/>
      <c r="K60" s="602"/>
      <c r="L60" s="601"/>
      <c r="M60" s="601"/>
      <c r="N60" s="601"/>
      <c r="O60" s="601"/>
      <c r="P60" s="601"/>
      <c r="Q60" s="601"/>
      <c r="R60" s="601"/>
      <c r="S60" s="715"/>
      <c r="T60" s="715"/>
      <c r="U60" s="715"/>
      <c r="V60" s="715"/>
      <c r="W60" s="715"/>
    </row>
    <row r="61" spans="1:23" x14ac:dyDescent="0.25">
      <c r="A61" s="601"/>
      <c r="B61" s="709">
        <f>+'Trial Deposits Engine'!O57</f>
        <v>8</v>
      </c>
      <c r="C61" s="710">
        <f>+'eTool Data Engine'!M17</f>
        <v>82736</v>
      </c>
      <c r="D61" s="619"/>
      <c r="E61" s="710">
        <f t="shared" si="0"/>
        <v>57607</v>
      </c>
      <c r="F61" s="619"/>
      <c r="G61" s="711">
        <f t="shared" si="1"/>
        <v>25129</v>
      </c>
      <c r="H61" s="712"/>
      <c r="I61" s="716" t="str">
        <f t="shared" si="2"/>
        <v>OK</v>
      </c>
      <c r="J61" s="714"/>
      <c r="K61" s="602"/>
      <c r="L61" s="601"/>
      <c r="M61" s="601"/>
      <c r="N61" s="601"/>
      <c r="O61" s="601"/>
      <c r="P61" s="601"/>
      <c r="Q61" s="601"/>
      <c r="R61" s="601"/>
      <c r="S61" s="715"/>
      <c r="T61" s="715"/>
      <c r="U61" s="715"/>
      <c r="V61" s="715"/>
      <c r="W61" s="715"/>
    </row>
    <row r="62" spans="1:23" x14ac:dyDescent="0.25">
      <c r="A62" s="601"/>
      <c r="B62" s="709">
        <f>+'Trial Deposits Engine'!P57</f>
        <v>9</v>
      </c>
      <c r="C62" s="710">
        <f>+'eTool Data Engine'!N17</f>
        <v>76930</v>
      </c>
      <c r="D62" s="619"/>
      <c r="E62" s="710">
        <f t="shared" si="0"/>
        <v>58760</v>
      </c>
      <c r="F62" s="619"/>
      <c r="G62" s="711">
        <f t="shared" si="1"/>
        <v>18170</v>
      </c>
      <c r="H62" s="712"/>
      <c r="I62" s="716" t="str">
        <f t="shared" si="2"/>
        <v>OK</v>
      </c>
      <c r="J62" s="714"/>
      <c r="K62" s="602"/>
      <c r="L62" s="601"/>
      <c r="M62" s="601"/>
      <c r="N62" s="601"/>
      <c r="O62" s="601"/>
      <c r="P62" s="601"/>
      <c r="Q62" s="601"/>
      <c r="R62" s="601"/>
      <c r="S62" s="715"/>
      <c r="T62" s="715"/>
      <c r="U62" s="715"/>
      <c r="V62" s="715"/>
      <c r="W62" s="715"/>
    </row>
    <row r="63" spans="1:23" x14ac:dyDescent="0.25">
      <c r="A63" s="601"/>
      <c r="B63" s="709">
        <f>+'Trial Deposits Engine'!Q57</f>
        <v>10</v>
      </c>
      <c r="C63" s="710">
        <f>+'eTool Data Engine'!O17</f>
        <v>71502</v>
      </c>
      <c r="D63" s="619"/>
      <c r="E63" s="710">
        <f t="shared" si="0"/>
        <v>59935</v>
      </c>
      <c r="F63" s="619"/>
      <c r="G63" s="711">
        <f t="shared" si="1"/>
        <v>11567</v>
      </c>
      <c r="H63" s="712"/>
      <c r="I63" s="716" t="str">
        <f t="shared" si="2"/>
        <v>OK</v>
      </c>
      <c r="J63" s="714"/>
      <c r="K63" s="602"/>
      <c r="L63" s="601"/>
      <c r="M63" s="601"/>
      <c r="N63" s="601"/>
      <c r="O63" s="601"/>
      <c r="P63" s="601"/>
      <c r="Q63" s="601"/>
      <c r="R63" s="601"/>
      <c r="S63" s="715"/>
      <c r="T63" s="715"/>
      <c r="U63" s="715"/>
      <c r="V63" s="715"/>
      <c r="W63" s="715"/>
    </row>
    <row r="64" spans="1:23" ht="15.75" thickBot="1" x14ac:dyDescent="0.3">
      <c r="A64" s="601"/>
      <c r="B64" s="717"/>
      <c r="C64" s="718"/>
      <c r="D64" s="718"/>
      <c r="E64" s="718"/>
      <c r="F64" s="718"/>
      <c r="G64" s="718"/>
      <c r="H64" s="718"/>
      <c r="I64" s="719"/>
      <c r="J64" s="720"/>
      <c r="K64" s="601"/>
      <c r="L64" s="601"/>
      <c r="M64" s="601"/>
      <c r="N64" s="601"/>
      <c r="O64" s="601"/>
      <c r="P64" s="601"/>
      <c r="Q64" s="601"/>
      <c r="R64" s="601"/>
      <c r="S64" s="715"/>
      <c r="T64" s="715"/>
      <c r="U64" s="715"/>
      <c r="V64" s="715"/>
      <c r="W64" s="715"/>
    </row>
    <row r="65" spans="1:18" ht="15.75" thickBot="1" x14ac:dyDescent="0.3">
      <c r="A65" s="601"/>
      <c r="B65" s="601"/>
      <c r="C65" s="601"/>
      <c r="D65" s="601"/>
      <c r="E65" s="601"/>
      <c r="F65" s="601"/>
      <c r="G65" s="601"/>
      <c r="H65" s="601"/>
      <c r="I65" s="601"/>
      <c r="J65" s="601"/>
      <c r="K65" s="601"/>
      <c r="L65" s="601"/>
      <c r="M65" s="601"/>
      <c r="N65" s="601"/>
      <c r="O65" s="601"/>
      <c r="P65" s="601"/>
      <c r="Q65" s="601"/>
      <c r="R65" s="601"/>
    </row>
    <row r="66" spans="1:18" ht="15" customHeight="1" thickBot="1" x14ac:dyDescent="0.3">
      <c r="A66" s="601"/>
      <c r="B66" s="693"/>
      <c r="C66" s="694"/>
      <c r="D66" s="694"/>
      <c r="E66" s="694"/>
      <c r="F66" s="694"/>
      <c r="G66" s="695"/>
      <c r="H66" s="694"/>
      <c r="I66" s="694"/>
      <c r="J66" s="721"/>
      <c r="K66" s="601"/>
      <c r="L66" s="601"/>
      <c r="M66" s="601"/>
      <c r="N66" s="601"/>
      <c r="O66" s="601"/>
      <c r="P66" s="601"/>
      <c r="Q66" s="601"/>
      <c r="R66" s="601"/>
    </row>
    <row r="67" spans="1:18" x14ac:dyDescent="0.25">
      <c r="A67" s="601"/>
      <c r="B67" s="617"/>
      <c r="C67" s="1050" t="s">
        <v>164</v>
      </c>
      <c r="D67" s="1051"/>
      <c r="E67" s="1051"/>
      <c r="F67" s="1051"/>
      <c r="G67" s="1052"/>
      <c r="H67" s="619"/>
      <c r="I67" s="699" t="s">
        <v>165</v>
      </c>
      <c r="J67" s="714"/>
      <c r="K67" s="601"/>
      <c r="L67" s="601"/>
      <c r="M67" s="601"/>
      <c r="N67" s="601"/>
      <c r="O67" s="601"/>
      <c r="P67" s="601"/>
      <c r="Q67" s="601"/>
      <c r="R67" s="601"/>
    </row>
    <row r="68" spans="1:18" ht="16.5" thickBot="1" x14ac:dyDescent="0.3">
      <c r="A68" s="601"/>
      <c r="B68" s="702"/>
      <c r="C68" s="619"/>
      <c r="D68" s="619"/>
      <c r="E68" s="619"/>
      <c r="F68" s="619"/>
      <c r="G68" s="703"/>
      <c r="H68" s="619"/>
      <c r="I68" s="704">
        <f>+COUNTIF(I70:I79,"Not OK")</f>
        <v>10</v>
      </c>
      <c r="J68" s="700"/>
      <c r="K68" s="601"/>
      <c r="L68" s="601"/>
      <c r="M68" s="601"/>
      <c r="N68" s="601"/>
      <c r="O68" s="601"/>
      <c r="P68" s="601"/>
      <c r="Q68" s="601"/>
      <c r="R68" s="601"/>
    </row>
    <row r="69" spans="1:18" ht="54" customHeight="1" x14ac:dyDescent="0.25">
      <c r="A69" s="601"/>
      <c r="B69" s="705" t="s">
        <v>159</v>
      </c>
      <c r="C69" s="706" t="s">
        <v>160</v>
      </c>
      <c r="D69" s="619"/>
      <c r="E69" s="706" t="s">
        <v>161</v>
      </c>
      <c r="F69" s="619"/>
      <c r="G69" s="706" t="s">
        <v>162</v>
      </c>
      <c r="H69" s="722"/>
      <c r="I69" s="708" t="s">
        <v>166</v>
      </c>
      <c r="J69" s="700"/>
      <c r="K69" s="601"/>
      <c r="L69" s="601"/>
      <c r="M69" s="601"/>
      <c r="N69" s="601"/>
      <c r="O69" s="601"/>
      <c r="P69" s="601"/>
      <c r="Q69" s="601"/>
      <c r="R69" s="601"/>
    </row>
    <row r="70" spans="1:18" x14ac:dyDescent="0.25">
      <c r="A70" s="601"/>
      <c r="B70" s="709">
        <f>+'Trial Deposits Engine'!R57</f>
        <v>11</v>
      </c>
      <c r="C70" s="710">
        <f>+'eTool Data Engine'!P17</f>
        <v>-36983</v>
      </c>
      <c r="D70" s="723"/>
      <c r="E70" s="710">
        <f t="shared" ref="E70:E79" si="3">+E120</f>
        <v>61133</v>
      </c>
      <c r="F70" s="619"/>
      <c r="G70" s="711">
        <f>+C70-E70</f>
        <v>-98116</v>
      </c>
      <c r="H70" s="712"/>
      <c r="I70" s="716" t="str">
        <f>+IF(G70&gt;=0,"OK","Not OK")</f>
        <v>Not OK</v>
      </c>
      <c r="J70" s="714"/>
      <c r="K70" s="602"/>
      <c r="L70" s="601"/>
      <c r="M70" s="601"/>
      <c r="N70" s="601"/>
      <c r="O70" s="601"/>
      <c r="P70" s="601"/>
      <c r="Q70" s="601"/>
      <c r="R70" s="601"/>
    </row>
    <row r="71" spans="1:18" x14ac:dyDescent="0.25">
      <c r="A71" s="601"/>
      <c r="B71" s="709">
        <f>+'Trial Deposits Engine'!S57</f>
        <v>12</v>
      </c>
      <c r="C71" s="710">
        <f>+'eTool Data Engine'!Q17</f>
        <v>-141040</v>
      </c>
      <c r="D71" s="723"/>
      <c r="E71" s="710">
        <f t="shared" si="3"/>
        <v>62356</v>
      </c>
      <c r="F71" s="619"/>
      <c r="G71" s="711">
        <f t="shared" ref="G71:G79" si="4">+C71-E71</f>
        <v>-203396</v>
      </c>
      <c r="H71" s="712"/>
      <c r="I71" s="716" t="str">
        <f t="shared" ref="I71:I79" si="5">+IF(G71&gt;=0,"OK","Not OK")</f>
        <v>Not OK</v>
      </c>
      <c r="J71" s="714"/>
      <c r="K71" s="602"/>
      <c r="L71" s="601"/>
      <c r="M71" s="601"/>
      <c r="N71" s="601"/>
      <c r="O71" s="601"/>
      <c r="P71" s="601"/>
      <c r="Q71" s="601"/>
      <c r="R71" s="601"/>
    </row>
    <row r="72" spans="1:18" x14ac:dyDescent="0.25">
      <c r="A72" s="601"/>
      <c r="B72" s="709">
        <f>+'Trial Deposits Engine'!T57</f>
        <v>13</v>
      </c>
      <c r="C72" s="710">
        <f>+'eTool Data Engine'!R17</f>
        <v>-171836</v>
      </c>
      <c r="D72" s="723"/>
      <c r="E72" s="710">
        <f t="shared" si="3"/>
        <v>63603</v>
      </c>
      <c r="F72" s="619"/>
      <c r="G72" s="711">
        <f t="shared" si="4"/>
        <v>-235439</v>
      </c>
      <c r="H72" s="712"/>
      <c r="I72" s="716" t="str">
        <f t="shared" si="5"/>
        <v>Not OK</v>
      </c>
      <c r="J72" s="714"/>
      <c r="K72" s="602"/>
      <c r="L72" s="601"/>
      <c r="M72" s="601"/>
      <c r="N72" s="601"/>
      <c r="O72" s="601"/>
      <c r="P72" s="601"/>
      <c r="Q72" s="601"/>
      <c r="R72" s="601"/>
    </row>
    <row r="73" spans="1:18" x14ac:dyDescent="0.25">
      <c r="A73" s="601"/>
      <c r="B73" s="709">
        <f>+'Trial Deposits Engine'!U57</f>
        <v>14</v>
      </c>
      <c r="C73" s="710">
        <f>+'eTool Data Engine'!S17</f>
        <v>-215985</v>
      </c>
      <c r="D73" s="723"/>
      <c r="E73" s="710">
        <f t="shared" si="3"/>
        <v>64875</v>
      </c>
      <c r="F73" s="619"/>
      <c r="G73" s="711">
        <f t="shared" si="4"/>
        <v>-280860</v>
      </c>
      <c r="H73" s="712"/>
      <c r="I73" s="716" t="str">
        <f t="shared" si="5"/>
        <v>Not OK</v>
      </c>
      <c r="J73" s="714"/>
      <c r="K73" s="602"/>
      <c r="L73" s="601"/>
      <c r="M73" s="601"/>
      <c r="N73" s="601"/>
      <c r="O73" s="601"/>
      <c r="P73" s="601"/>
      <c r="Q73" s="601"/>
      <c r="R73" s="601"/>
    </row>
    <row r="74" spans="1:18" x14ac:dyDescent="0.25">
      <c r="A74" s="601"/>
      <c r="B74" s="709">
        <f>+'Trial Deposits Engine'!V57</f>
        <v>15</v>
      </c>
      <c r="C74" s="710">
        <f>+'eTool Data Engine'!T17</f>
        <v>-307889</v>
      </c>
      <c r="D74" s="723"/>
      <c r="E74" s="710">
        <f t="shared" si="3"/>
        <v>66173</v>
      </c>
      <c r="F74" s="619"/>
      <c r="G74" s="711">
        <f t="shared" si="4"/>
        <v>-374062</v>
      </c>
      <c r="H74" s="712"/>
      <c r="I74" s="716" t="str">
        <f t="shared" si="5"/>
        <v>Not OK</v>
      </c>
      <c r="J74" s="714"/>
      <c r="K74" s="602"/>
      <c r="L74" s="601"/>
      <c r="M74" s="601"/>
      <c r="N74" s="601"/>
      <c r="O74" s="601"/>
      <c r="P74" s="601"/>
      <c r="Q74" s="601"/>
      <c r="R74" s="601"/>
    </row>
    <row r="75" spans="1:18" x14ac:dyDescent="0.25">
      <c r="A75" s="601"/>
      <c r="B75" s="709">
        <f>+'Trial Deposits Engine'!W57</f>
        <v>16</v>
      </c>
      <c r="C75" s="710">
        <f>+'eTool Data Engine'!U17</f>
        <v>-295095</v>
      </c>
      <c r="D75" s="723"/>
      <c r="E75" s="710">
        <f t="shared" si="3"/>
        <v>67496</v>
      </c>
      <c r="F75" s="619"/>
      <c r="G75" s="711">
        <f t="shared" si="4"/>
        <v>-362591</v>
      </c>
      <c r="H75" s="712"/>
      <c r="I75" s="716" t="str">
        <f t="shared" si="5"/>
        <v>Not OK</v>
      </c>
      <c r="J75" s="714"/>
      <c r="K75" s="602"/>
      <c r="L75" s="601"/>
      <c r="M75" s="601"/>
      <c r="N75" s="601"/>
      <c r="O75" s="601"/>
      <c r="P75" s="601"/>
      <c r="Q75" s="601"/>
      <c r="R75" s="601"/>
    </row>
    <row r="76" spans="1:18" x14ac:dyDescent="0.25">
      <c r="A76" s="601"/>
      <c r="B76" s="709">
        <f>+'Trial Deposits Engine'!X57</f>
        <v>17</v>
      </c>
      <c r="C76" s="710">
        <f>+'eTool Data Engine'!V17</f>
        <v>-267914</v>
      </c>
      <c r="D76" s="723"/>
      <c r="E76" s="710">
        <f t="shared" si="3"/>
        <v>68846</v>
      </c>
      <c r="F76" s="619"/>
      <c r="G76" s="711">
        <f t="shared" si="4"/>
        <v>-336760</v>
      </c>
      <c r="H76" s="712"/>
      <c r="I76" s="716" t="str">
        <f t="shared" si="5"/>
        <v>Not OK</v>
      </c>
      <c r="J76" s="714"/>
      <c r="K76" s="602"/>
      <c r="L76" s="601"/>
      <c r="M76" s="601"/>
      <c r="N76" s="601"/>
      <c r="O76" s="601"/>
      <c r="P76" s="601"/>
      <c r="Q76" s="601"/>
      <c r="R76" s="601"/>
    </row>
    <row r="77" spans="1:18" x14ac:dyDescent="0.25">
      <c r="A77" s="601"/>
      <c r="B77" s="709">
        <f>+'Trial Deposits Engine'!Y57</f>
        <v>18</v>
      </c>
      <c r="C77" s="710">
        <f>+'eTool Data Engine'!W17</f>
        <v>-284016</v>
      </c>
      <c r="D77" s="723"/>
      <c r="E77" s="710">
        <f t="shared" si="3"/>
        <v>70223</v>
      </c>
      <c r="F77" s="619"/>
      <c r="G77" s="711">
        <f t="shared" si="4"/>
        <v>-354239</v>
      </c>
      <c r="H77" s="712"/>
      <c r="I77" s="716" t="str">
        <f t="shared" si="5"/>
        <v>Not OK</v>
      </c>
      <c r="J77" s="714"/>
      <c r="K77" s="602"/>
      <c r="L77" s="601"/>
      <c r="M77" s="601"/>
      <c r="N77" s="601"/>
      <c r="O77" s="601"/>
      <c r="P77" s="601"/>
      <c r="Q77" s="601"/>
      <c r="R77" s="601"/>
    </row>
    <row r="78" spans="1:18" ht="16.5" customHeight="1" x14ac:dyDescent="0.25">
      <c r="A78" s="601"/>
      <c r="B78" s="709">
        <f>+'Trial Deposits Engine'!Z57</f>
        <v>19</v>
      </c>
      <c r="C78" s="710">
        <f>+'eTool Data Engine'!X17</f>
        <v>-292605</v>
      </c>
      <c r="D78" s="723"/>
      <c r="E78" s="710">
        <f t="shared" si="3"/>
        <v>71628</v>
      </c>
      <c r="F78" s="619"/>
      <c r="G78" s="711">
        <f t="shared" si="4"/>
        <v>-364233</v>
      </c>
      <c r="H78" s="712"/>
      <c r="I78" s="716" t="str">
        <f t="shared" si="5"/>
        <v>Not OK</v>
      </c>
      <c r="J78" s="714"/>
      <c r="K78" s="602"/>
      <c r="L78" s="601"/>
      <c r="M78" s="601"/>
      <c r="N78" s="601"/>
      <c r="O78" s="601"/>
      <c r="P78" s="601"/>
      <c r="Q78" s="601"/>
      <c r="R78" s="601"/>
    </row>
    <row r="79" spans="1:18" x14ac:dyDescent="0.25">
      <c r="A79" s="601"/>
      <c r="B79" s="709">
        <f>+'Trial Deposits Engine'!AA57</f>
        <v>20</v>
      </c>
      <c r="C79" s="710">
        <f>+'eTool Data Engine'!Y17</f>
        <v>-560246</v>
      </c>
      <c r="D79" s="723"/>
      <c r="E79" s="710">
        <f t="shared" si="3"/>
        <v>73060</v>
      </c>
      <c r="F79" s="619"/>
      <c r="G79" s="711">
        <f t="shared" si="4"/>
        <v>-633306</v>
      </c>
      <c r="H79" s="712"/>
      <c r="I79" s="716" t="str">
        <f t="shared" si="5"/>
        <v>Not OK</v>
      </c>
      <c r="J79" s="714"/>
      <c r="K79" s="602"/>
      <c r="L79" s="601"/>
      <c r="M79" s="601"/>
      <c r="N79" s="601"/>
      <c r="O79" s="601"/>
      <c r="P79" s="601"/>
      <c r="Q79" s="601"/>
      <c r="R79" s="601"/>
    </row>
    <row r="80" spans="1:18" ht="15" customHeight="1" thickBot="1" x14ac:dyDescent="0.3">
      <c r="A80" s="601"/>
      <c r="B80" s="717"/>
      <c r="C80" s="718"/>
      <c r="D80" s="718"/>
      <c r="E80" s="718"/>
      <c r="F80" s="718"/>
      <c r="G80" s="718"/>
      <c r="H80" s="718"/>
      <c r="I80" s="718"/>
      <c r="J80" s="720"/>
      <c r="K80" s="601"/>
      <c r="L80" s="601"/>
      <c r="M80" s="601"/>
      <c r="N80" s="601"/>
      <c r="O80" s="601"/>
      <c r="P80" s="601"/>
      <c r="Q80" s="601"/>
      <c r="R80" s="601"/>
    </row>
    <row r="81" spans="1:18" ht="15.75" thickBot="1" x14ac:dyDescent="0.3">
      <c r="A81" s="601"/>
      <c r="B81" s="601"/>
      <c r="C81" s="601"/>
      <c r="D81" s="601"/>
      <c r="E81" s="601"/>
      <c r="F81" s="601"/>
      <c r="G81" s="601"/>
      <c r="H81" s="601"/>
      <c r="I81" s="601"/>
      <c r="J81" s="601"/>
      <c r="K81" s="601"/>
      <c r="L81" s="601"/>
      <c r="M81" s="601"/>
      <c r="N81" s="601"/>
      <c r="O81" s="601"/>
      <c r="P81" s="601"/>
      <c r="Q81" s="601"/>
      <c r="R81" s="601"/>
    </row>
    <row r="82" spans="1:18" ht="15" customHeight="1" thickBot="1" x14ac:dyDescent="0.3">
      <c r="A82" s="601"/>
      <c r="B82" s="606"/>
      <c r="C82" s="694"/>
      <c r="D82" s="694"/>
      <c r="E82" s="694"/>
      <c r="F82" s="694"/>
      <c r="G82" s="694"/>
      <c r="H82" s="694"/>
      <c r="I82" s="724"/>
      <c r="J82" s="721"/>
      <c r="K82" s="602"/>
      <c r="L82" s="601"/>
      <c r="M82" s="601"/>
      <c r="N82" s="601"/>
      <c r="O82" s="601"/>
      <c r="P82" s="601"/>
      <c r="Q82" s="601"/>
      <c r="R82" s="601"/>
    </row>
    <row r="83" spans="1:18" ht="15" customHeight="1" x14ac:dyDescent="0.25">
      <c r="A83" s="601"/>
      <c r="B83" s="617"/>
      <c r="C83" s="1050" t="s">
        <v>167</v>
      </c>
      <c r="D83" s="1051"/>
      <c r="E83" s="1051"/>
      <c r="F83" s="1051"/>
      <c r="G83" s="1052"/>
      <c r="H83" s="619"/>
      <c r="I83" s="699" t="s">
        <v>168</v>
      </c>
      <c r="J83" s="714"/>
      <c r="K83" s="602"/>
      <c r="L83" s="601"/>
      <c r="M83" s="601"/>
      <c r="N83" s="601"/>
      <c r="O83" s="601"/>
      <c r="P83" s="601"/>
      <c r="Q83" s="601"/>
      <c r="R83" s="601"/>
    </row>
    <row r="84" spans="1:18" ht="16.5" thickBot="1" x14ac:dyDescent="0.3">
      <c r="A84" s="601"/>
      <c r="B84" s="617"/>
      <c r="C84" s="619"/>
      <c r="D84" s="619"/>
      <c r="E84" s="619"/>
      <c r="F84" s="619"/>
      <c r="G84" s="619"/>
      <c r="H84" s="619"/>
      <c r="I84" s="704">
        <f>+COUNTIF(I86:I95,"Not OK")</f>
        <v>0</v>
      </c>
      <c r="J84" s="714"/>
      <c r="K84" s="602"/>
      <c r="L84" s="601"/>
      <c r="M84" s="601"/>
      <c r="N84" s="601"/>
      <c r="O84" s="601"/>
      <c r="P84" s="601"/>
      <c r="Q84" s="601"/>
      <c r="R84" s="601"/>
    </row>
    <row r="85" spans="1:18" ht="51.75" customHeight="1" x14ac:dyDescent="0.25">
      <c r="A85" s="601"/>
      <c r="B85" s="705" t="s">
        <v>159</v>
      </c>
      <c r="C85" s="706" t="s">
        <v>169</v>
      </c>
      <c r="D85" s="725"/>
      <c r="E85" s="706" t="s">
        <v>170</v>
      </c>
      <c r="F85" s="725"/>
      <c r="G85" s="706" t="s">
        <v>171</v>
      </c>
      <c r="H85" s="722"/>
      <c r="I85" s="708" t="s">
        <v>166</v>
      </c>
      <c r="J85" s="714"/>
      <c r="K85" s="602"/>
      <c r="L85" s="601"/>
      <c r="M85" s="601"/>
      <c r="N85" s="601"/>
      <c r="O85" s="601"/>
      <c r="P85" s="601"/>
      <c r="Q85" s="601"/>
      <c r="R85" s="601"/>
    </row>
    <row r="86" spans="1:18" x14ac:dyDescent="0.25">
      <c r="A86" s="601"/>
      <c r="B86" s="709">
        <f>+'Trial Deposits Engine'!R57</f>
        <v>11</v>
      </c>
      <c r="C86" s="710">
        <f>+'eTool Data Engine'!P19</f>
        <v>-98116</v>
      </c>
      <c r="D86" s="726"/>
      <c r="E86" s="350">
        <f>+'eTool Data Engine'!P15</f>
        <v>1190684.5274243876</v>
      </c>
      <c r="F86" s="619"/>
      <c r="G86" s="727">
        <f>+C86+E86</f>
        <v>1092568.5274243876</v>
      </c>
      <c r="H86" s="712"/>
      <c r="I86" s="716" t="str">
        <f>+IF(G86&gt;=0,"OK","Not OK")</f>
        <v>OK</v>
      </c>
      <c r="J86" s="714"/>
      <c r="K86" s="602"/>
      <c r="L86" s="601"/>
      <c r="M86" s="601"/>
      <c r="N86" s="601"/>
      <c r="O86" s="601"/>
      <c r="P86" s="601"/>
      <c r="Q86" s="601"/>
      <c r="R86" s="601"/>
    </row>
    <row r="87" spans="1:18" x14ac:dyDescent="0.25">
      <c r="A87" s="601"/>
      <c r="B87" s="709">
        <f>+'Trial Deposits Engine'!S57</f>
        <v>12</v>
      </c>
      <c r="C87" s="710">
        <f>+'eTool Data Engine'!Q19</f>
        <v>-203396</v>
      </c>
      <c r="D87" s="726"/>
      <c r="E87" s="350">
        <f>+'eTool Data Engine'!Q15</f>
        <v>1322623.9635163136</v>
      </c>
      <c r="F87" s="619"/>
      <c r="G87" s="727">
        <f t="shared" ref="G87:G95" si="6">+C87+E87</f>
        <v>1119227.9635163136</v>
      </c>
      <c r="H87" s="712"/>
      <c r="I87" s="716" t="str">
        <f t="shared" ref="I87:I95" si="7">+IF(G87&gt;=0,"OK","Not OK")</f>
        <v>OK</v>
      </c>
      <c r="J87" s="714"/>
      <c r="K87" s="602"/>
      <c r="L87" s="601"/>
      <c r="M87" s="601"/>
      <c r="N87" s="601"/>
      <c r="O87" s="601"/>
      <c r="P87" s="601"/>
      <c r="Q87" s="601"/>
      <c r="R87" s="601"/>
    </row>
    <row r="88" spans="1:18" x14ac:dyDescent="0.25">
      <c r="A88" s="601"/>
      <c r="B88" s="709">
        <f>+'Trial Deposits Engine'!T57</f>
        <v>13</v>
      </c>
      <c r="C88" s="710">
        <f>+'eTool Data Engine'!R19</f>
        <v>-235439</v>
      </c>
      <c r="D88" s="726"/>
      <c r="E88" s="350">
        <f>+'eTool Data Engine'!R15</f>
        <v>1459119.9107971424</v>
      </c>
      <c r="F88" s="619"/>
      <c r="G88" s="727">
        <f t="shared" si="6"/>
        <v>1223680.9107971424</v>
      </c>
      <c r="H88" s="712"/>
      <c r="I88" s="716" t="str">
        <f t="shared" si="7"/>
        <v>OK</v>
      </c>
      <c r="J88" s="714"/>
      <c r="K88" s="602"/>
      <c r="L88" s="601"/>
      <c r="M88" s="601"/>
      <c r="N88" s="601"/>
      <c r="O88" s="601"/>
      <c r="P88" s="601"/>
      <c r="Q88" s="601"/>
      <c r="R88" s="601"/>
    </row>
    <row r="89" spans="1:18" x14ac:dyDescent="0.25">
      <c r="A89" s="601"/>
      <c r="B89" s="709">
        <f>+'Trial Deposits Engine'!U57</f>
        <v>14</v>
      </c>
      <c r="C89" s="710">
        <f>+'eTool Data Engine'!S19</f>
        <v>-280860</v>
      </c>
      <c r="D89" s="726"/>
      <c r="E89" s="350">
        <f>+'eTool Data Engine'!S15</f>
        <v>1600329.7277855258</v>
      </c>
      <c r="F89" s="619"/>
      <c r="G89" s="727">
        <f t="shared" si="6"/>
        <v>1319469.7277855258</v>
      </c>
      <c r="H89" s="712"/>
      <c r="I89" s="716" t="str">
        <f t="shared" si="7"/>
        <v>OK</v>
      </c>
      <c r="J89" s="714"/>
      <c r="K89" s="602"/>
      <c r="L89" s="601"/>
      <c r="M89" s="601"/>
      <c r="N89" s="601"/>
      <c r="O89" s="601"/>
      <c r="P89" s="601"/>
      <c r="Q89" s="601"/>
      <c r="R89" s="601"/>
    </row>
    <row r="90" spans="1:18" x14ac:dyDescent="0.25">
      <c r="A90" s="601"/>
      <c r="B90" s="709">
        <f>+'Trial Deposits Engine'!V57</f>
        <v>15</v>
      </c>
      <c r="C90" s="710">
        <f>+'eTool Data Engine'!T19</f>
        <v>-374062</v>
      </c>
      <c r="D90" s="726"/>
      <c r="E90" s="350">
        <f>+'eTool Data Engine'!T15</f>
        <v>1746416.207355991</v>
      </c>
      <c r="F90" s="619"/>
      <c r="G90" s="727">
        <f t="shared" si="6"/>
        <v>1372354.207355991</v>
      </c>
      <c r="H90" s="712"/>
      <c r="I90" s="716" t="str">
        <f t="shared" si="7"/>
        <v>OK</v>
      </c>
      <c r="J90" s="714"/>
      <c r="K90" s="602"/>
      <c r="L90" s="601"/>
      <c r="M90" s="601"/>
      <c r="N90" s="601"/>
      <c r="O90" s="601"/>
      <c r="P90" s="601"/>
      <c r="Q90" s="601"/>
      <c r="R90" s="601"/>
    </row>
    <row r="91" spans="1:18" x14ac:dyDescent="0.25">
      <c r="A91" s="601"/>
      <c r="B91" s="709">
        <f>+'Trial Deposits Engine'!W57</f>
        <v>16</v>
      </c>
      <c r="C91" s="710">
        <f>+'eTool Data Engine'!U19</f>
        <v>-362591</v>
      </c>
      <c r="D91" s="726"/>
      <c r="E91" s="350">
        <f>+'eTool Data Engine'!U15</f>
        <v>1897547.7644137293</v>
      </c>
      <c r="F91" s="619"/>
      <c r="G91" s="727">
        <f t="shared" si="6"/>
        <v>1534956.7644137293</v>
      </c>
      <c r="H91" s="712"/>
      <c r="I91" s="716" t="str">
        <f t="shared" si="7"/>
        <v>OK</v>
      </c>
      <c r="J91" s="714"/>
      <c r="K91" s="602"/>
      <c r="L91" s="601"/>
      <c r="M91" s="601"/>
      <c r="N91" s="601"/>
      <c r="O91" s="601"/>
      <c r="P91" s="601"/>
      <c r="Q91" s="601"/>
      <c r="R91" s="601"/>
    </row>
    <row r="92" spans="1:18" x14ac:dyDescent="0.25">
      <c r="A92" s="601"/>
      <c r="B92" s="709">
        <f>+'Trial Deposits Engine'!X57</f>
        <v>17</v>
      </c>
      <c r="C92" s="710">
        <f>+'eTool Data Engine'!V19</f>
        <v>-336760</v>
      </c>
      <c r="D92" s="726"/>
      <c r="E92" s="350">
        <f>+'eTool Data Engine'!V15</f>
        <v>2053898.6300506722</v>
      </c>
      <c r="F92" s="619"/>
      <c r="G92" s="727">
        <f t="shared" si="6"/>
        <v>1717138.6300506722</v>
      </c>
      <c r="H92" s="712"/>
      <c r="I92" s="716" t="str">
        <f t="shared" si="7"/>
        <v>OK</v>
      </c>
      <c r="J92" s="714"/>
      <c r="K92" s="602"/>
      <c r="L92" s="601"/>
      <c r="M92" s="601"/>
      <c r="N92" s="601"/>
      <c r="O92" s="601"/>
      <c r="P92" s="601"/>
      <c r="Q92" s="601"/>
      <c r="R92" s="601"/>
    </row>
    <row r="93" spans="1:18" x14ac:dyDescent="0.25">
      <c r="A93" s="601"/>
      <c r="B93" s="709">
        <f>+'Trial Deposits Engine'!Y57</f>
        <v>18</v>
      </c>
      <c r="C93" s="710">
        <f>+'eTool Data Engine'!W19</f>
        <v>-354239</v>
      </c>
      <c r="D93" s="726"/>
      <c r="E93" s="350">
        <f>+'eTool Data Engine'!W15</f>
        <v>2215649.0524067585</v>
      </c>
      <c r="F93" s="619"/>
      <c r="G93" s="727">
        <f t="shared" si="6"/>
        <v>1861410.0524067585</v>
      </c>
      <c r="H93" s="712"/>
      <c r="I93" s="716" t="str">
        <f t="shared" si="7"/>
        <v>OK</v>
      </c>
      <c r="J93" s="714"/>
      <c r="K93" s="602"/>
      <c r="L93" s="601"/>
      <c r="M93" s="601"/>
      <c r="N93" s="601"/>
      <c r="O93" s="601"/>
      <c r="P93" s="601"/>
      <c r="Q93" s="601"/>
      <c r="R93" s="601"/>
    </row>
    <row r="94" spans="1:18" x14ac:dyDescent="0.25">
      <c r="A94" s="601"/>
      <c r="B94" s="709">
        <f>+'Trial Deposits Engine'!Z57</f>
        <v>19</v>
      </c>
      <c r="C94" s="710">
        <f>+'eTool Data Engine'!X19</f>
        <v>-364233</v>
      </c>
      <c r="D94" s="726"/>
      <c r="E94" s="350">
        <f>+'eTool Data Engine'!X15</f>
        <v>2382985.5044678799</v>
      </c>
      <c r="F94" s="619"/>
      <c r="G94" s="727">
        <f t="shared" si="6"/>
        <v>2018752.5044678799</v>
      </c>
      <c r="H94" s="712"/>
      <c r="I94" s="716" t="str">
        <f t="shared" si="7"/>
        <v>OK</v>
      </c>
      <c r="J94" s="714"/>
      <c r="K94" s="602"/>
      <c r="L94" s="601"/>
      <c r="M94" s="601"/>
      <c r="N94" s="601"/>
      <c r="O94" s="601"/>
      <c r="P94" s="601"/>
      <c r="Q94" s="601"/>
      <c r="R94" s="601"/>
    </row>
    <row r="95" spans="1:18" x14ac:dyDescent="0.25">
      <c r="A95" s="601"/>
      <c r="B95" s="709">
        <f>+'Trial Deposits Engine'!AA57</f>
        <v>20</v>
      </c>
      <c r="C95" s="710">
        <f>+'eTool Data Engine'!Y19</f>
        <v>-633306</v>
      </c>
      <c r="D95" s="726"/>
      <c r="E95" s="350">
        <f>+'eTool Data Engine'!Y15</f>
        <v>2556100.8990401491</v>
      </c>
      <c r="F95" s="619"/>
      <c r="G95" s="727">
        <f t="shared" si="6"/>
        <v>1922794.8990401491</v>
      </c>
      <c r="H95" s="712"/>
      <c r="I95" s="716" t="str">
        <f t="shared" si="7"/>
        <v>OK</v>
      </c>
      <c r="J95" s="714"/>
      <c r="K95" s="602"/>
      <c r="L95" s="601"/>
      <c r="M95" s="601"/>
      <c r="N95" s="601"/>
      <c r="O95" s="601"/>
      <c r="P95" s="601"/>
      <c r="Q95" s="601"/>
      <c r="R95" s="601"/>
    </row>
    <row r="96" spans="1:18" x14ac:dyDescent="0.25">
      <c r="A96" s="601"/>
      <c r="B96" s="617"/>
      <c r="C96" s="619"/>
      <c r="D96" s="619"/>
      <c r="E96" s="728"/>
      <c r="F96" s="619"/>
      <c r="G96" s="619"/>
      <c r="H96" s="619"/>
      <c r="I96" s="729"/>
      <c r="J96" s="714"/>
      <c r="K96" s="602"/>
      <c r="L96" s="601"/>
      <c r="M96" s="601"/>
      <c r="N96" s="601"/>
      <c r="O96" s="601"/>
      <c r="P96" s="601"/>
      <c r="Q96" s="601"/>
      <c r="R96" s="601"/>
    </row>
    <row r="97" spans="1:18" ht="15" customHeight="1" x14ac:dyDescent="0.25">
      <c r="A97" s="601"/>
      <c r="B97" s="617"/>
      <c r="C97" s="1053" t="s">
        <v>172</v>
      </c>
      <c r="D97" s="1053"/>
      <c r="E97" s="1053"/>
      <c r="F97" s="1053"/>
      <c r="G97" s="1053"/>
      <c r="H97" s="1053"/>
      <c r="I97" s="1053"/>
      <c r="J97" s="714"/>
      <c r="K97" s="602"/>
      <c r="L97" s="601"/>
      <c r="M97" s="601"/>
      <c r="N97" s="601"/>
      <c r="O97" s="601"/>
      <c r="P97" s="601"/>
      <c r="Q97" s="601"/>
      <c r="R97" s="601"/>
    </row>
    <row r="98" spans="1:18" x14ac:dyDescent="0.25">
      <c r="A98" s="601"/>
      <c r="B98" s="617"/>
      <c r="C98" s="1053"/>
      <c r="D98" s="1053"/>
      <c r="E98" s="1053"/>
      <c r="F98" s="1053"/>
      <c r="G98" s="1053"/>
      <c r="H98" s="1053"/>
      <c r="I98" s="1053"/>
      <c r="J98" s="730"/>
      <c r="K98" s="731"/>
      <c r="L98" s="601"/>
      <c r="M98" s="601"/>
      <c r="N98" s="601"/>
      <c r="O98" s="601"/>
      <c r="P98" s="601"/>
      <c r="Q98" s="601"/>
      <c r="R98" s="601"/>
    </row>
    <row r="99" spans="1:18" x14ac:dyDescent="0.25">
      <c r="A99" s="601"/>
      <c r="B99" s="617"/>
      <c r="C99" s="1053"/>
      <c r="D99" s="1053"/>
      <c r="E99" s="1053"/>
      <c r="F99" s="1053"/>
      <c r="G99" s="1053"/>
      <c r="H99" s="1053"/>
      <c r="I99" s="1053"/>
      <c r="J99" s="732"/>
      <c r="K99" s="733"/>
      <c r="L99" s="601"/>
      <c r="M99" s="601"/>
      <c r="N99" s="601"/>
      <c r="O99" s="601"/>
      <c r="P99" s="601"/>
      <c r="Q99" s="601"/>
      <c r="R99" s="601"/>
    </row>
    <row r="100" spans="1:18" ht="15.75" customHeight="1" thickBot="1" x14ac:dyDescent="0.3">
      <c r="A100" s="601"/>
      <c r="B100" s="717"/>
      <c r="C100" s="718"/>
      <c r="D100" s="718"/>
      <c r="E100" s="718"/>
      <c r="F100" s="718"/>
      <c r="G100" s="718"/>
      <c r="H100" s="718"/>
      <c r="I100" s="718"/>
      <c r="J100" s="720"/>
      <c r="K100" s="602"/>
      <c r="L100" s="601"/>
      <c r="M100" s="601"/>
      <c r="N100" s="601"/>
      <c r="O100" s="601"/>
      <c r="P100" s="601"/>
      <c r="Q100" s="601"/>
      <c r="R100" s="601"/>
    </row>
    <row r="101" spans="1:18" x14ac:dyDescent="0.25">
      <c r="A101" s="601"/>
      <c r="B101" s="601"/>
      <c r="C101" s="601"/>
      <c r="D101" s="601"/>
      <c r="E101" s="601"/>
      <c r="F101" s="601"/>
      <c r="G101" s="601"/>
      <c r="H101" s="601"/>
      <c r="I101" s="601"/>
      <c r="J101" s="601"/>
      <c r="K101" s="602"/>
      <c r="L101" s="601"/>
      <c r="M101" s="601"/>
      <c r="N101" s="601"/>
      <c r="O101" s="601"/>
      <c r="P101" s="601"/>
      <c r="Q101" s="601"/>
      <c r="R101" s="601"/>
    </row>
    <row r="102" spans="1:18" x14ac:dyDescent="0.25">
      <c r="A102" s="601"/>
      <c r="B102" s="601"/>
      <c r="C102" s="601"/>
      <c r="D102" s="601"/>
      <c r="E102" s="601"/>
      <c r="F102" s="601"/>
      <c r="G102" s="601"/>
      <c r="H102" s="601"/>
      <c r="I102" s="601"/>
      <c r="J102" s="601"/>
      <c r="K102" s="601"/>
      <c r="L102" s="601"/>
      <c r="M102" s="601"/>
      <c r="N102" s="601"/>
      <c r="O102" s="601"/>
      <c r="P102" s="601"/>
      <c r="Q102" s="601"/>
      <c r="R102" s="601"/>
    </row>
    <row r="103" spans="1:18" x14ac:dyDescent="0.25">
      <c r="A103" s="601"/>
      <c r="B103" s="601"/>
      <c r="C103" s="601"/>
      <c r="D103" s="601"/>
      <c r="E103" s="601"/>
      <c r="F103" s="601"/>
      <c r="G103" s="601"/>
      <c r="H103" s="601"/>
      <c r="I103" s="601"/>
      <c r="J103" s="601"/>
      <c r="K103" s="601"/>
      <c r="L103" s="601"/>
      <c r="M103" s="601"/>
      <c r="N103" s="601"/>
      <c r="O103" s="601"/>
      <c r="P103" s="601"/>
      <c r="Q103" s="601"/>
      <c r="R103" s="601"/>
    </row>
    <row r="104" spans="1:18" ht="15.75" thickBot="1" x14ac:dyDescent="0.3">
      <c r="A104" s="601"/>
      <c r="B104" s="601"/>
      <c r="C104" s="601"/>
      <c r="D104" s="601"/>
      <c r="E104" s="601"/>
      <c r="F104" s="601"/>
      <c r="G104" s="601"/>
      <c r="H104" s="601"/>
      <c r="I104" s="601"/>
      <c r="J104" s="601"/>
      <c r="K104" s="601"/>
      <c r="L104" s="601"/>
      <c r="M104" s="601"/>
      <c r="N104" s="601"/>
      <c r="O104" s="601"/>
      <c r="P104" s="601"/>
      <c r="Q104" s="601"/>
      <c r="R104" s="601"/>
    </row>
    <row r="105" spans="1:18" ht="15" customHeight="1" x14ac:dyDescent="0.25">
      <c r="A105" s="601"/>
      <c r="B105" s="606"/>
      <c r="C105" s="694"/>
      <c r="D105" s="694"/>
      <c r="E105" s="694"/>
      <c r="F105" s="694"/>
      <c r="G105" s="694"/>
      <c r="H105" s="721"/>
      <c r="I105" s="601"/>
      <c r="J105" s="601"/>
      <c r="K105" s="601"/>
      <c r="L105" s="601"/>
      <c r="M105" s="601"/>
      <c r="N105" s="601"/>
      <c r="O105" s="601"/>
      <c r="P105" s="601"/>
      <c r="Q105" s="601"/>
      <c r="R105" s="601"/>
    </row>
    <row r="106" spans="1:18" ht="15" customHeight="1" x14ac:dyDescent="0.25">
      <c r="A106" s="601"/>
      <c r="B106" s="617"/>
      <c r="C106" s="1050" t="s">
        <v>173</v>
      </c>
      <c r="D106" s="1051"/>
      <c r="E106" s="1051"/>
      <c r="F106" s="1051"/>
      <c r="G106" s="1052"/>
      <c r="H106" s="714"/>
      <c r="I106" s="601"/>
      <c r="J106" s="601"/>
      <c r="K106" s="601"/>
      <c r="L106" s="601"/>
      <c r="M106" s="601"/>
      <c r="N106" s="601"/>
      <c r="O106" s="601"/>
      <c r="P106" s="601"/>
      <c r="Q106" s="601"/>
      <c r="R106" s="601"/>
    </row>
    <row r="107" spans="1:18" x14ac:dyDescent="0.25">
      <c r="A107" s="601"/>
      <c r="B107" s="617"/>
      <c r="C107" s="619"/>
      <c r="D107" s="619"/>
      <c r="E107" s="619"/>
      <c r="F107" s="619"/>
      <c r="G107" s="619"/>
      <c r="H107" s="714"/>
      <c r="I107" s="601"/>
      <c r="J107" s="601"/>
      <c r="K107" s="601"/>
      <c r="L107" s="601"/>
      <c r="M107" s="601"/>
      <c r="N107" s="601"/>
      <c r="O107" s="601"/>
      <c r="P107" s="601"/>
      <c r="Q107" s="601"/>
      <c r="R107" s="601"/>
    </row>
    <row r="108" spans="1:18" ht="26.25" x14ac:dyDescent="0.25">
      <c r="A108" s="601"/>
      <c r="B108" s="617"/>
      <c r="C108" s="734" t="s">
        <v>174</v>
      </c>
      <c r="D108" s="619"/>
      <c r="E108" s="734" t="s">
        <v>174</v>
      </c>
      <c r="F108" s="619"/>
      <c r="G108" s="734" t="s">
        <v>174</v>
      </c>
      <c r="H108" s="714"/>
      <c r="I108" s="601"/>
      <c r="J108" s="601"/>
      <c r="K108" s="601"/>
      <c r="L108" s="601"/>
      <c r="M108" s="601"/>
      <c r="N108" s="601"/>
      <c r="O108" s="601"/>
      <c r="P108" s="601"/>
      <c r="Q108" s="601"/>
      <c r="R108" s="601"/>
    </row>
    <row r="109" spans="1:18" ht="43.5" customHeight="1" x14ac:dyDescent="0.25">
      <c r="A109" s="601"/>
      <c r="B109" s="705" t="s">
        <v>159</v>
      </c>
      <c r="C109" s="706" t="s">
        <v>175</v>
      </c>
      <c r="D109" s="725"/>
      <c r="E109" s="706" t="s">
        <v>176</v>
      </c>
      <c r="F109" s="619"/>
      <c r="G109" s="706" t="s">
        <v>177</v>
      </c>
      <c r="H109" s="735"/>
      <c r="I109" s="601"/>
      <c r="J109" s="601"/>
      <c r="K109" s="601"/>
      <c r="L109" s="601"/>
      <c r="M109" s="601"/>
      <c r="N109" s="601"/>
      <c r="O109" s="601"/>
      <c r="P109" s="601"/>
      <c r="Q109" s="601"/>
      <c r="R109" s="601"/>
    </row>
    <row r="110" spans="1:18" x14ac:dyDescent="0.25">
      <c r="A110" s="601"/>
      <c r="B110" s="709">
        <v>1</v>
      </c>
      <c r="C110" s="710">
        <f>-+'Trial Deposits Engine'!H78</f>
        <v>0</v>
      </c>
      <c r="D110" s="726"/>
      <c r="E110" s="710">
        <f>+'eTool Data Engine'!F18</f>
        <v>50151</v>
      </c>
      <c r="F110" s="726"/>
      <c r="G110" s="710">
        <f>+'eTool Data Engine'!F17</f>
        <v>221800</v>
      </c>
      <c r="H110" s="736"/>
      <c r="I110" s="601"/>
      <c r="J110" s="601"/>
      <c r="K110" s="601"/>
      <c r="L110" s="601"/>
      <c r="M110" s="601"/>
      <c r="N110" s="601"/>
      <c r="O110" s="601"/>
      <c r="P110" s="601"/>
      <c r="Q110" s="601"/>
      <c r="R110" s="601"/>
    </row>
    <row r="111" spans="1:18" x14ac:dyDescent="0.25">
      <c r="A111" s="601"/>
      <c r="B111" s="709">
        <v>2</v>
      </c>
      <c r="C111" s="710">
        <f>-+'Trial Deposits Engine'!I78</f>
        <v>13982</v>
      </c>
      <c r="D111" s="726"/>
      <c r="E111" s="710">
        <f>+'eTool Data Engine'!G18</f>
        <v>51154</v>
      </c>
      <c r="F111" s="726"/>
      <c r="G111" s="710">
        <f>+'eTool Data Engine'!G17</f>
        <v>230232</v>
      </c>
      <c r="H111" s="737"/>
      <c r="I111" s="601"/>
      <c r="J111" s="601"/>
      <c r="K111" s="601"/>
      <c r="L111" s="601"/>
      <c r="M111" s="601"/>
      <c r="N111" s="601"/>
      <c r="O111" s="601"/>
      <c r="P111" s="601"/>
      <c r="Q111" s="601"/>
      <c r="R111" s="601"/>
    </row>
    <row r="112" spans="1:18" x14ac:dyDescent="0.25">
      <c r="A112" s="601"/>
      <c r="B112" s="709">
        <v>3</v>
      </c>
      <c r="C112" s="710">
        <f>-+'Trial Deposits Engine'!J78</f>
        <v>76898</v>
      </c>
      <c r="D112" s="726"/>
      <c r="E112" s="710">
        <f>+'eTool Data Engine'!H18</f>
        <v>52177</v>
      </c>
      <c r="F112" s="726"/>
      <c r="G112" s="710">
        <f>+'eTool Data Engine'!H17</f>
        <v>177388</v>
      </c>
      <c r="H112" s="737"/>
      <c r="I112" s="601"/>
      <c r="J112" s="601"/>
      <c r="K112" s="601"/>
      <c r="L112" s="601"/>
      <c r="M112" s="601"/>
      <c r="N112" s="601"/>
      <c r="O112" s="601"/>
      <c r="P112" s="601"/>
      <c r="Q112" s="601"/>
      <c r="R112" s="601"/>
    </row>
    <row r="113" spans="1:18" x14ac:dyDescent="0.25">
      <c r="A113" s="601"/>
      <c r="B113" s="709">
        <v>4</v>
      </c>
      <c r="C113" s="710">
        <f>-+'Trial Deposits Engine'!K78</f>
        <v>48842</v>
      </c>
      <c r="D113" s="726"/>
      <c r="E113" s="710">
        <f>+'eTool Data Engine'!I18</f>
        <v>53220</v>
      </c>
      <c r="F113" s="726"/>
      <c r="G113" s="710">
        <f>+'eTool Data Engine'!I17</f>
        <v>152219</v>
      </c>
      <c r="H113" s="714"/>
      <c r="I113" s="601"/>
      <c r="J113" s="601"/>
      <c r="K113" s="601"/>
      <c r="L113" s="601"/>
      <c r="M113" s="601"/>
      <c r="N113" s="601"/>
      <c r="O113" s="601"/>
      <c r="P113" s="601"/>
      <c r="Q113" s="601"/>
      <c r="R113" s="601"/>
    </row>
    <row r="114" spans="1:18" x14ac:dyDescent="0.25">
      <c r="A114" s="601"/>
      <c r="B114" s="709">
        <v>5</v>
      </c>
      <c r="C114" s="710">
        <f>-+'Trial Deposits Engine'!L78</f>
        <v>51561</v>
      </c>
      <c r="D114" s="726"/>
      <c r="E114" s="710">
        <f>+'eTool Data Engine'!J18</f>
        <v>54285</v>
      </c>
      <c r="F114" s="726"/>
      <c r="G114" s="710">
        <f>+'eTool Data Engine'!J17</f>
        <v>124373</v>
      </c>
      <c r="H114" s="714"/>
      <c r="I114" s="601"/>
      <c r="J114" s="601"/>
      <c r="K114" s="601"/>
      <c r="L114" s="601"/>
      <c r="M114" s="601"/>
      <c r="N114" s="601"/>
      <c r="O114" s="601"/>
      <c r="P114" s="601"/>
      <c r="Q114" s="601"/>
      <c r="R114" s="601"/>
    </row>
    <row r="115" spans="1:18" x14ac:dyDescent="0.25">
      <c r="A115" s="601"/>
      <c r="B115" s="709">
        <v>6</v>
      </c>
      <c r="C115" s="710">
        <f>-+'Trial Deposits Engine'!M78</f>
        <v>48842</v>
      </c>
      <c r="D115" s="726"/>
      <c r="E115" s="710">
        <f>+'eTool Data Engine'!K18</f>
        <v>55370</v>
      </c>
      <c r="F115" s="726"/>
      <c r="G115" s="710">
        <f>+'eTool Data Engine'!K17</f>
        <v>99258</v>
      </c>
      <c r="H115" s="714"/>
      <c r="I115" s="601"/>
      <c r="J115" s="601"/>
      <c r="K115" s="601"/>
      <c r="L115" s="601"/>
      <c r="M115" s="601"/>
      <c r="N115" s="601"/>
      <c r="O115" s="601"/>
      <c r="P115" s="601"/>
      <c r="Q115" s="601"/>
      <c r="R115" s="601"/>
    </row>
    <row r="116" spans="1:18" x14ac:dyDescent="0.25">
      <c r="A116" s="601"/>
      <c r="B116" s="709">
        <v>7</v>
      </c>
      <c r="C116" s="710">
        <f>+-'Trial Deposits Engine'!N78</f>
        <v>20366</v>
      </c>
      <c r="D116" s="726"/>
      <c r="E116" s="710">
        <f>+'eTool Data Engine'!L18</f>
        <v>56478</v>
      </c>
      <c r="F116" s="726"/>
      <c r="G116" s="710">
        <f>+'eTool Data Engine'!L17</f>
        <v>102679</v>
      </c>
      <c r="H116" s="714"/>
      <c r="I116" s="601"/>
      <c r="J116" s="601"/>
      <c r="K116" s="601"/>
      <c r="L116" s="601"/>
      <c r="M116" s="601"/>
      <c r="N116" s="601"/>
      <c r="O116" s="601"/>
      <c r="P116" s="601"/>
      <c r="Q116" s="601"/>
      <c r="R116" s="601"/>
    </row>
    <row r="117" spans="1:18" x14ac:dyDescent="0.25">
      <c r="A117" s="601"/>
      <c r="B117" s="709">
        <v>8</v>
      </c>
      <c r="C117" s="710">
        <f>-+'Trial Deposits Engine'!O78</f>
        <v>44227</v>
      </c>
      <c r="D117" s="726"/>
      <c r="E117" s="710">
        <f>+'eTool Data Engine'!M18</f>
        <v>57607</v>
      </c>
      <c r="F117" s="726"/>
      <c r="G117" s="710">
        <f>+'eTool Data Engine'!M17</f>
        <v>82736</v>
      </c>
      <c r="H117" s="714"/>
      <c r="I117" s="601"/>
      <c r="J117" s="601"/>
      <c r="K117" s="601"/>
      <c r="L117" s="601"/>
      <c r="M117" s="601"/>
      <c r="N117" s="601"/>
      <c r="O117" s="601"/>
      <c r="P117" s="601"/>
      <c r="Q117" s="601"/>
      <c r="R117" s="601"/>
    </row>
    <row r="118" spans="1:18" x14ac:dyDescent="0.25">
      <c r="A118" s="601"/>
      <c r="B118" s="709">
        <v>9</v>
      </c>
      <c r="C118" s="710">
        <f>-+'Trial Deposits Engine'!P78</f>
        <v>30245</v>
      </c>
      <c r="D118" s="726"/>
      <c r="E118" s="710">
        <f>+'eTool Data Engine'!N18</f>
        <v>58760</v>
      </c>
      <c r="F118" s="726"/>
      <c r="G118" s="710">
        <f>+'eTool Data Engine'!N17</f>
        <v>76930</v>
      </c>
      <c r="H118" s="714"/>
      <c r="I118" s="601"/>
      <c r="J118" s="601"/>
      <c r="K118" s="601"/>
      <c r="L118" s="601"/>
      <c r="M118" s="601"/>
      <c r="N118" s="601"/>
      <c r="O118" s="601"/>
      <c r="P118" s="601"/>
      <c r="Q118" s="601"/>
      <c r="R118" s="601"/>
    </row>
    <row r="119" spans="1:18" x14ac:dyDescent="0.25">
      <c r="A119" s="601"/>
      <c r="B119" s="709">
        <v>10</v>
      </c>
      <c r="C119" s="710">
        <f>-+'Trial Deposits Engine'!Q78</f>
        <v>30245</v>
      </c>
      <c r="D119" s="726"/>
      <c r="E119" s="710">
        <f>+'eTool Data Engine'!O18</f>
        <v>59935</v>
      </c>
      <c r="F119" s="726"/>
      <c r="G119" s="710">
        <f>+'eTool Data Engine'!O17</f>
        <v>71502</v>
      </c>
      <c r="H119" s="714"/>
      <c r="I119" s="601"/>
      <c r="J119" s="601"/>
      <c r="K119" s="601"/>
      <c r="L119" s="601"/>
      <c r="M119" s="601"/>
      <c r="N119" s="601"/>
      <c r="O119" s="601"/>
      <c r="P119" s="601"/>
      <c r="Q119" s="601"/>
      <c r="R119" s="601"/>
    </row>
    <row r="120" spans="1:18" x14ac:dyDescent="0.25">
      <c r="A120" s="601"/>
      <c r="B120" s="709">
        <v>11</v>
      </c>
      <c r="C120" s="710">
        <f>-+'Trial Deposits Engine'!R78</f>
        <v>133693</v>
      </c>
      <c r="D120" s="726"/>
      <c r="E120" s="710">
        <f>+'eTool Data Engine'!P18</f>
        <v>61133</v>
      </c>
      <c r="F120" s="726"/>
      <c r="G120" s="710">
        <f>+'eTool Data Engine'!P17</f>
        <v>-36983</v>
      </c>
      <c r="H120" s="714"/>
      <c r="I120" s="601"/>
      <c r="J120" s="601"/>
      <c r="K120" s="601"/>
      <c r="L120" s="601"/>
      <c r="M120" s="601"/>
      <c r="N120" s="601"/>
      <c r="O120" s="601"/>
      <c r="P120" s="601"/>
      <c r="Q120" s="601"/>
      <c r="R120" s="601"/>
    </row>
    <row r="121" spans="1:18" x14ac:dyDescent="0.25">
      <c r="A121" s="601"/>
      <c r="B121" s="709">
        <v>12</v>
      </c>
      <c r="C121" s="710">
        <f>-+'Trial Deposits Engine'!S78</f>
        <v>128676</v>
      </c>
      <c r="D121" s="726"/>
      <c r="E121" s="710">
        <f>+'eTool Data Engine'!Q18</f>
        <v>62356</v>
      </c>
      <c r="F121" s="726"/>
      <c r="G121" s="710">
        <f>+'eTool Data Engine'!Q17</f>
        <v>-141040</v>
      </c>
      <c r="H121" s="714"/>
      <c r="I121" s="601"/>
      <c r="J121" s="601"/>
      <c r="K121" s="601"/>
      <c r="L121" s="601"/>
      <c r="M121" s="601"/>
      <c r="N121" s="601"/>
      <c r="O121" s="601"/>
      <c r="P121" s="601"/>
      <c r="Q121" s="601"/>
      <c r="R121" s="601"/>
    </row>
    <row r="122" spans="1:18" x14ac:dyDescent="0.25">
      <c r="A122" s="601"/>
      <c r="B122" s="709">
        <v>13</v>
      </c>
      <c r="C122" s="710">
        <f>-+'Trial Deposits Engine'!T78</f>
        <v>55907</v>
      </c>
      <c r="D122" s="726"/>
      <c r="E122" s="710">
        <f>+'eTool Data Engine'!R18</f>
        <v>63603</v>
      </c>
      <c r="F122" s="726"/>
      <c r="G122" s="710">
        <f>+'eTool Data Engine'!R17</f>
        <v>-171836</v>
      </c>
      <c r="H122" s="714"/>
      <c r="I122" s="601"/>
      <c r="J122" s="601"/>
      <c r="K122" s="601"/>
      <c r="L122" s="601"/>
      <c r="M122" s="601"/>
      <c r="N122" s="601"/>
      <c r="O122" s="601"/>
      <c r="P122" s="601"/>
      <c r="Q122" s="601"/>
      <c r="R122" s="601"/>
    </row>
    <row r="123" spans="1:18" x14ac:dyDescent="0.25">
      <c r="A123" s="601"/>
      <c r="B123" s="709">
        <v>14</v>
      </c>
      <c r="C123" s="710">
        <f>-+'Trial Deposits Engine'!U78</f>
        <v>69762</v>
      </c>
      <c r="D123" s="726"/>
      <c r="E123" s="710">
        <f>+'eTool Data Engine'!S18</f>
        <v>64875</v>
      </c>
      <c r="F123" s="726"/>
      <c r="G123" s="710">
        <f>+'eTool Data Engine'!S17</f>
        <v>-215985</v>
      </c>
      <c r="H123" s="714"/>
      <c r="I123" s="601"/>
      <c r="J123" s="601"/>
      <c r="K123" s="601"/>
      <c r="L123" s="601"/>
      <c r="M123" s="601"/>
      <c r="N123" s="601"/>
      <c r="O123" s="601"/>
      <c r="P123" s="601"/>
      <c r="Q123" s="601"/>
      <c r="R123" s="601"/>
    </row>
    <row r="124" spans="1:18" x14ac:dyDescent="0.25">
      <c r="A124" s="601"/>
      <c r="B124" s="709">
        <v>15</v>
      </c>
      <c r="C124" s="710">
        <f>-+'Trial Deposits Engine'!V78</f>
        <v>118030</v>
      </c>
      <c r="D124" s="726"/>
      <c r="E124" s="710">
        <f>+'eTool Data Engine'!T18</f>
        <v>66173</v>
      </c>
      <c r="F124" s="726"/>
      <c r="G124" s="710">
        <f>+'eTool Data Engine'!T17</f>
        <v>-307889</v>
      </c>
      <c r="H124" s="714"/>
      <c r="I124" s="601"/>
      <c r="J124" s="601"/>
      <c r="K124" s="601"/>
      <c r="L124" s="601"/>
      <c r="M124" s="601"/>
      <c r="N124" s="601"/>
      <c r="O124" s="601"/>
      <c r="P124" s="601"/>
      <c r="Q124" s="601"/>
      <c r="R124" s="601"/>
    </row>
    <row r="125" spans="1:18" x14ac:dyDescent="0.25">
      <c r="A125" s="601"/>
      <c r="B125" s="709">
        <v>16</v>
      </c>
      <c r="C125" s="710">
        <f>-+'Trial Deposits Engine'!W78</f>
        <v>13855</v>
      </c>
      <c r="D125" s="726"/>
      <c r="E125" s="710">
        <f>+'eTool Data Engine'!U18</f>
        <v>67496</v>
      </c>
      <c r="F125" s="726"/>
      <c r="G125" s="710">
        <f>+'eTool Data Engine'!U17</f>
        <v>-295095</v>
      </c>
      <c r="H125" s="714"/>
      <c r="I125" s="601"/>
      <c r="J125" s="601"/>
      <c r="K125" s="601"/>
      <c r="L125" s="601"/>
      <c r="M125" s="601"/>
      <c r="N125" s="601"/>
      <c r="O125" s="601"/>
      <c r="P125" s="601"/>
      <c r="Q125" s="601"/>
      <c r="R125" s="601"/>
    </row>
    <row r="126" spans="1:18" x14ac:dyDescent="0.25">
      <c r="A126" s="601"/>
      <c r="B126" s="709">
        <v>17</v>
      </c>
      <c r="C126" s="710">
        <f>-+'Trial Deposits Engine'!X78</f>
        <v>0</v>
      </c>
      <c r="D126" s="726"/>
      <c r="E126" s="710">
        <f>+'eTool Data Engine'!V18</f>
        <v>68846</v>
      </c>
      <c r="F126" s="726"/>
      <c r="G126" s="710">
        <f>+'eTool Data Engine'!V17</f>
        <v>-267914</v>
      </c>
      <c r="H126" s="714"/>
      <c r="I126" s="601"/>
      <c r="J126" s="601"/>
      <c r="K126" s="601"/>
      <c r="L126" s="601"/>
      <c r="M126" s="601"/>
      <c r="N126" s="601"/>
      <c r="O126" s="601"/>
      <c r="P126" s="601"/>
      <c r="Q126" s="601"/>
      <c r="R126" s="601"/>
    </row>
    <row r="127" spans="1:18" x14ac:dyDescent="0.25">
      <c r="A127" s="601"/>
      <c r="B127" s="709">
        <v>18</v>
      </c>
      <c r="C127" s="710">
        <f>-+'Trial Deposits Engine'!Y78</f>
        <v>43826</v>
      </c>
      <c r="D127" s="726"/>
      <c r="E127" s="710">
        <f>+'eTool Data Engine'!W18</f>
        <v>70223</v>
      </c>
      <c r="F127" s="726"/>
      <c r="G127" s="710">
        <f>+'eTool Data Engine'!W17</f>
        <v>-284016</v>
      </c>
      <c r="H127" s="714"/>
      <c r="I127" s="601"/>
      <c r="J127" s="601"/>
      <c r="K127" s="601"/>
      <c r="L127" s="601"/>
      <c r="M127" s="601"/>
      <c r="N127" s="601"/>
      <c r="O127" s="601"/>
      <c r="P127" s="601"/>
      <c r="Q127" s="601"/>
      <c r="R127" s="601"/>
    </row>
    <row r="128" spans="1:18" x14ac:dyDescent="0.25">
      <c r="A128" s="601"/>
      <c r="B128" s="709">
        <v>19</v>
      </c>
      <c r="C128" s="710">
        <f>-+'Trial Deposits Engine'!Z78</f>
        <v>36869</v>
      </c>
      <c r="D128" s="726"/>
      <c r="E128" s="710">
        <f>+'eTool Data Engine'!X18</f>
        <v>71628</v>
      </c>
      <c r="F128" s="726"/>
      <c r="G128" s="710">
        <f>+'eTool Data Engine'!X17</f>
        <v>-292605</v>
      </c>
      <c r="H128" s="714"/>
      <c r="I128" s="601"/>
      <c r="J128" s="601"/>
      <c r="K128" s="601"/>
      <c r="L128" s="601"/>
      <c r="M128" s="601"/>
      <c r="N128" s="601"/>
      <c r="O128" s="601"/>
      <c r="P128" s="601"/>
      <c r="Q128" s="601"/>
      <c r="R128" s="601"/>
    </row>
    <row r="129" spans="1:18" x14ac:dyDescent="0.25">
      <c r="A129" s="601"/>
      <c r="B129" s="709">
        <v>20</v>
      </c>
      <c r="C129" s="710">
        <f>-+'Trial Deposits Engine'!AA78</f>
        <v>296486</v>
      </c>
      <c r="D129" s="726"/>
      <c r="E129" s="710">
        <f>+'eTool Data Engine'!Y18</f>
        <v>73060</v>
      </c>
      <c r="F129" s="726"/>
      <c r="G129" s="710">
        <f>+'eTool Data Engine'!Y17</f>
        <v>-560246</v>
      </c>
      <c r="H129" s="714"/>
      <c r="I129" s="601"/>
      <c r="J129" s="601"/>
      <c r="K129" s="601"/>
      <c r="L129" s="601"/>
      <c r="M129" s="601"/>
      <c r="N129" s="601"/>
      <c r="O129" s="601"/>
      <c r="P129" s="601"/>
      <c r="Q129" s="601"/>
      <c r="R129" s="601"/>
    </row>
    <row r="130" spans="1:18" ht="15.75" thickBot="1" x14ac:dyDescent="0.3">
      <c r="A130" s="601"/>
      <c r="B130" s="617"/>
      <c r="C130" s="738">
        <f>SUM(C110:C129)</f>
        <v>1262312</v>
      </c>
      <c r="D130" s="619"/>
      <c r="E130" s="619"/>
      <c r="F130" s="739"/>
      <c r="G130" s="619"/>
      <c r="H130" s="714"/>
      <c r="I130" s="601"/>
      <c r="J130" s="601"/>
      <c r="K130" s="601"/>
      <c r="L130" s="601"/>
      <c r="M130" s="601"/>
      <c r="N130" s="601"/>
      <c r="O130" s="601"/>
      <c r="P130" s="601"/>
      <c r="Q130" s="601"/>
      <c r="R130" s="601"/>
    </row>
    <row r="131" spans="1:18" ht="16.5" thickTop="1" thickBot="1" x14ac:dyDescent="0.3">
      <c r="A131" s="601"/>
      <c r="B131" s="740"/>
      <c r="C131" s="741"/>
      <c r="D131" s="741"/>
      <c r="E131" s="741"/>
      <c r="F131" s="741"/>
      <c r="G131" s="741"/>
      <c r="H131" s="742"/>
      <c r="I131" s="601"/>
      <c r="J131" s="601"/>
      <c r="K131" s="601"/>
      <c r="L131" s="601"/>
      <c r="M131" s="601"/>
      <c r="N131" s="601"/>
      <c r="O131" s="601"/>
      <c r="P131" s="601"/>
      <c r="Q131" s="601"/>
      <c r="R131" s="601"/>
    </row>
    <row r="132" spans="1:18" x14ac:dyDescent="0.25">
      <c r="A132" s="602"/>
      <c r="B132" s="1048"/>
      <c r="C132" s="1049"/>
      <c r="D132" s="1049"/>
      <c r="E132" s="1049"/>
      <c r="F132" s="1049"/>
      <c r="G132" s="1049"/>
      <c r="H132" s="1049"/>
      <c r="I132" s="602"/>
      <c r="J132" s="601"/>
      <c r="K132" s="601"/>
      <c r="L132" s="601"/>
      <c r="M132" s="601"/>
      <c r="N132" s="601"/>
      <c r="O132" s="601"/>
      <c r="P132" s="601"/>
      <c r="Q132" s="601"/>
      <c r="R132" s="601"/>
    </row>
    <row r="133" spans="1:18" ht="15" customHeight="1" x14ac:dyDescent="0.25">
      <c r="A133" s="602"/>
      <c r="B133" s="1049"/>
      <c r="C133" s="1049"/>
      <c r="D133" s="1049"/>
      <c r="E133" s="1049"/>
      <c r="F133" s="1049"/>
      <c r="G133" s="1049"/>
      <c r="H133" s="1049"/>
      <c r="I133" s="602"/>
      <c r="J133" s="601"/>
      <c r="K133" s="601"/>
      <c r="L133" s="601"/>
      <c r="M133" s="601"/>
      <c r="N133" s="601"/>
      <c r="O133" s="601"/>
      <c r="P133" s="601"/>
      <c r="Q133" s="601"/>
      <c r="R133" s="601"/>
    </row>
    <row r="134" spans="1:18" x14ac:dyDescent="0.25">
      <c r="A134" s="602"/>
      <c r="B134" s="1049"/>
      <c r="C134" s="1049"/>
      <c r="D134" s="1049"/>
      <c r="E134" s="1049"/>
      <c r="F134" s="1049"/>
      <c r="G134" s="1049"/>
      <c r="H134" s="1049"/>
      <c r="I134" s="602"/>
      <c r="J134" s="601"/>
      <c r="K134" s="601"/>
      <c r="L134" s="601"/>
      <c r="M134" s="601"/>
      <c r="N134" s="601"/>
      <c r="O134" s="601"/>
      <c r="P134" s="601"/>
      <c r="Q134" s="601"/>
      <c r="R134" s="601"/>
    </row>
    <row r="135" spans="1:18" x14ac:dyDescent="0.25">
      <c r="A135" s="602"/>
      <c r="B135" s="743"/>
      <c r="C135" s="743"/>
      <c r="D135" s="743"/>
      <c r="E135" s="743"/>
      <c r="F135" s="743"/>
      <c r="G135" s="743"/>
      <c r="H135" s="743"/>
      <c r="I135" s="602"/>
      <c r="J135" s="601"/>
      <c r="K135" s="601"/>
      <c r="L135" s="601"/>
      <c r="M135" s="601"/>
      <c r="N135" s="601"/>
      <c r="O135" s="601"/>
      <c r="P135" s="601"/>
      <c r="Q135" s="601"/>
      <c r="R135" s="601"/>
    </row>
    <row r="136" spans="1:18" x14ac:dyDescent="0.25">
      <c r="A136" s="602"/>
      <c r="B136" s="602"/>
      <c r="C136" s="602"/>
      <c r="D136" s="602"/>
      <c r="E136" s="602"/>
      <c r="F136" s="602"/>
      <c r="G136" s="602"/>
      <c r="H136" s="602"/>
      <c r="I136" s="602"/>
      <c r="J136" s="601"/>
      <c r="K136" s="601"/>
      <c r="L136" s="601"/>
      <c r="M136" s="601"/>
      <c r="N136" s="601"/>
      <c r="O136" s="601"/>
      <c r="P136" s="601"/>
      <c r="Q136" s="601"/>
      <c r="R136" s="601"/>
    </row>
  </sheetData>
  <sheetProtection algorithmName="SHA-512" hashValue="FBVo24mLmoBVcTPD2tRjsR47etcYMI7kIalqcnrxkYmG6Cs3FKzoELrFNs/FrXQCcOycUX1isW+y0y1TWbci2w==" saltValue="etJJ5wZQ+xZZOZSbcnHepg==" spinCount="100000" sheet="1" objects="1" scenarios="1"/>
  <mergeCells count="38">
    <mergeCell ref="C2:J2"/>
    <mergeCell ref="C6:J6"/>
    <mergeCell ref="B34:G34"/>
    <mergeCell ref="B13:G13"/>
    <mergeCell ref="B14:G14"/>
    <mergeCell ref="B16:G16"/>
    <mergeCell ref="B18:I18"/>
    <mergeCell ref="E17:I17"/>
    <mergeCell ref="C20:J20"/>
    <mergeCell ref="C31:J31"/>
    <mergeCell ref="B3:C3"/>
    <mergeCell ref="D3:J3"/>
    <mergeCell ref="B4:C4"/>
    <mergeCell ref="D4:J4"/>
    <mergeCell ref="C26:E26"/>
    <mergeCell ref="B9:G9"/>
    <mergeCell ref="B10:G10"/>
    <mergeCell ref="B12:G12"/>
    <mergeCell ref="B37:G37"/>
    <mergeCell ref="C106:G106"/>
    <mergeCell ref="B8:G8"/>
    <mergeCell ref="B33:G33"/>
    <mergeCell ref="B38:G38"/>
    <mergeCell ref="B40:G40"/>
    <mergeCell ref="L45:M45"/>
    <mergeCell ref="B132:H134"/>
    <mergeCell ref="C67:G67"/>
    <mergeCell ref="C83:G83"/>
    <mergeCell ref="C97:I99"/>
    <mergeCell ref="C51:G51"/>
    <mergeCell ref="L2:M2"/>
    <mergeCell ref="L3:M3"/>
    <mergeCell ref="L4:M4"/>
    <mergeCell ref="L5:M5"/>
    <mergeCell ref="N2:P2"/>
    <mergeCell ref="N3:P3"/>
    <mergeCell ref="N4:P4"/>
    <mergeCell ref="N5:P5"/>
  </mergeCells>
  <conditionalFormatting sqref="H95">
    <cfRule type="expression" dxfId="50" priority="55">
      <formula>FIND("Not",H95)&gt;1</formula>
    </cfRule>
  </conditionalFormatting>
  <conditionalFormatting sqref="H94">
    <cfRule type="expression" dxfId="49" priority="54">
      <formula>FIND("Not",H94)&gt;1</formula>
    </cfRule>
  </conditionalFormatting>
  <conditionalFormatting sqref="H32:H33">
    <cfRule type="expression" dxfId="48" priority="52">
      <formula>H32="PASS"</formula>
    </cfRule>
    <cfRule type="expression" dxfId="47" priority="53">
      <formula>H32="FAIL"</formula>
    </cfRule>
  </conditionalFormatting>
  <conditionalFormatting sqref="H34:H35">
    <cfRule type="expression" dxfId="46" priority="50">
      <formula>H34="YES"</formula>
    </cfRule>
    <cfRule type="expression" dxfId="45" priority="51">
      <formula>H34="NO"</formula>
    </cfRule>
  </conditionalFormatting>
  <conditionalFormatting sqref="I16">
    <cfRule type="expression" dxfId="44" priority="9">
      <formula>I16="REQUIRED"</formula>
    </cfRule>
  </conditionalFormatting>
  <conditionalFormatting sqref="I37">
    <cfRule type="expression" dxfId="43" priority="7">
      <formula>I37="VIOLATION EXISTS"</formula>
    </cfRule>
    <cfRule type="expression" dxfId="42" priority="8">
      <formula>I37="REQUIREMENTS MET"</formula>
    </cfRule>
  </conditionalFormatting>
  <conditionalFormatting sqref="I8">
    <cfRule type="expression" dxfId="41" priority="5">
      <formula>I8="PASS"</formula>
    </cfRule>
    <cfRule type="expression" dxfId="40" priority="6">
      <formula>I8="FAIL"</formula>
    </cfRule>
  </conditionalFormatting>
  <conditionalFormatting sqref="I12">
    <cfRule type="expression" dxfId="39" priority="3">
      <formula>I12="PASS"</formula>
    </cfRule>
    <cfRule type="expression" dxfId="38" priority="4">
      <formula>I12="FAIL"</formula>
    </cfRule>
  </conditionalFormatting>
  <conditionalFormatting sqref="I33">
    <cfRule type="expression" dxfId="37" priority="1">
      <formula>I33="PASS"</formula>
    </cfRule>
    <cfRule type="expression" dxfId="36" priority="2">
      <formula>I33="FAIL"</formula>
    </cfRule>
  </conditionalFormatting>
  <dataValidations xWindow="601" yWindow="723" count="8">
    <dataValidation type="date" allowBlank="1" showInputMessage="1" showErrorMessage="1" promptTitle="Please input a valid date." prompt="Will accept various date formats, but must be between 1/1/1976 and 1/1/2056." sqref="G27" xr:uid="{DDCC8E53-172E-4D3B-8DB4-8F8F96473A12}">
      <formula1>27760</formula1>
      <formula2>56980</formula2>
    </dataValidation>
    <dataValidation type="decimal" allowBlank="1" showInputMessage="1" showErrorMessage="1" promptTitle="Please input a valid number" prompt="Automatically converts a number between 0.000 and 15.000 into a decimal." sqref="E23" xr:uid="{C0865264-B3B4-43E5-AC87-182EE2191436}">
      <formula1>0</formula1>
      <formula2>15</formula2>
    </dataValidation>
    <dataValidation type="whole" allowBlank="1" showInputMessage="1" showErrorMessage="1" promptTitle="Please input a valid number" prompt="Must be a number between 10 and 40." sqref="G23" xr:uid="{1EBB509A-ED36-4C9B-84C5-907C5042C61E}">
      <formula1>10</formula1>
      <formula2>40</formula2>
    </dataValidation>
    <dataValidation type="decimal" allowBlank="1" showInputMessage="1" showErrorMessage="1" promptTitle="Please input a valid number" prompt="Must be a number between $50,000 and $500,000,000." sqref="C23" xr:uid="{FCC08B80-8DEE-48DD-8253-B0E8919A2620}">
      <formula1>50</formula1>
      <formula2>500000000</formula2>
    </dataValidation>
    <dataValidation allowBlank="1" showErrorMessage="1" sqref="D4" xr:uid="{73A1A291-0025-4645-8C04-5CDF65519DF5}"/>
    <dataValidation type="textLength" allowBlank="1" showInputMessage="1" showErrorMessage="1" promptTitle="Input project name" prompt="Name shoud be the same as that appearing in the application." sqref="D3:D4 B4 N2:N5" xr:uid="{CBA079D5-3D77-4CC5-9186-EB627B0E8051}">
      <formula1>1</formula1>
      <formula2>75</formula2>
    </dataValidation>
    <dataValidation allowBlank="1" showInputMessage="1" showErrorMessage="1" promptTitle="MAP Appendix 5.VII.B.6" prompt="Reserves balances amounts must equal or exceed the projected capital costs plus any minimum balance requirements for each of the first 10 years in the Estimate Period. " sqref="I8 I12 I33" xr:uid="{056C1F4B-21D9-48FF-AD92-9D9FE864FA5D}"/>
    <dataValidation allowBlank="1" showInputMessage="1" showErrorMessage="1" promptTitle="Amortization Test Requirement" prompt="Amortization Test is required if any of the the Years 11+ does not meet the required minimum balance amounts.  " sqref="I16" xr:uid="{56682687-94EA-45A6-88B3-495D344572F8}"/>
  </dataValidations>
  <hyperlinks>
    <hyperlink ref="I10" location="eTool_data_Req.Min._Bal._violations__Yr_1_10" display="click here" xr:uid="{A2B7B187-9FE1-4C98-B110-35F69760FD98}"/>
    <hyperlink ref="I35" location="eTool_data_Amort._Test_violations" display="click here" xr:uid="{30E81317-D083-478D-A8CA-4C5ECFC19970}"/>
    <hyperlink ref="I14" location="eTool_data_Req.Min._Bal._violations__Yr_11" display="click here" xr:uid="{4DE4C0E4-C8D7-4691-BE5F-8408BD8DDE05}"/>
    <hyperlink ref="I38:I39" location="'TRIAL DEPOSITS_Results'!C8" display="Go To Trial Deposits" xr:uid="{17D42D61-3804-4004-B801-A7F1E9CB8571}"/>
    <hyperlink ref="I40" location="'Attachment_R4R Commt Lttr'!A1" display="Go To Attachment Tab" xr:uid="{F1F0A0F7-79C8-4579-8C5C-025705C4E761}"/>
    <hyperlink ref="I19" location="Additional_eTool_data" display="click here" xr:uid="{DB9AE8D0-D640-4415-8310-1CE2E6DE25C3}"/>
  </hyperlinks>
  <printOptions horizontalCentered="1"/>
  <pageMargins left="0.35" right="0.31" top="0.75" bottom="0.75" header="0.3" footer="0.3"/>
  <pageSetup scale="90" orientation="portrait" horizontalDpi="1800" verticalDpi="1800" r:id="rId1"/>
  <headerFooter>
    <oddHeader>&amp;C&amp;F
&amp;A&amp;R&amp;D</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E40C1-D0E3-46C5-9855-B2FE1A400A4F}">
  <sheetPr codeName="Sheet7">
    <tabColor rgb="FF66FFFF"/>
    <pageSetUpPr fitToPage="1"/>
  </sheetPr>
  <dimension ref="A1:AA152"/>
  <sheetViews>
    <sheetView workbookViewId="0"/>
  </sheetViews>
  <sheetFormatPr defaultColWidth="9.140625" defaultRowHeight="15" x14ac:dyDescent="0.25"/>
  <cols>
    <col min="1" max="1" width="3.140625" style="603" customWidth="1"/>
    <col min="2" max="2" width="13.7109375" style="603" customWidth="1"/>
    <col min="3" max="3" width="20.7109375" style="603" customWidth="1"/>
    <col min="4" max="4" width="2.28515625" style="603" customWidth="1"/>
    <col min="5" max="5" width="20.7109375" style="603" customWidth="1"/>
    <col min="6" max="6" width="2.28515625" style="603" customWidth="1"/>
    <col min="7" max="7" width="20.7109375" style="603" customWidth="1"/>
    <col min="8" max="8" width="2.28515625" style="603" customWidth="1"/>
    <col min="9" max="9" width="20.7109375" style="603" customWidth="1"/>
    <col min="10" max="10" width="2.28515625" style="603" customWidth="1"/>
    <col min="11" max="11" width="2" style="603" customWidth="1"/>
    <col min="12" max="12" width="2.28515625" style="603" customWidth="1"/>
    <col min="13" max="13" width="20.7109375" style="603" customWidth="1"/>
    <col min="14" max="14" width="10.7109375" style="603" customWidth="1"/>
    <col min="15" max="15" width="14" style="603" customWidth="1"/>
    <col min="16" max="16" width="13.28515625" style="603" customWidth="1"/>
    <col min="17" max="17" width="11.7109375" style="603" customWidth="1"/>
    <col min="18" max="18" width="12.42578125" style="603" customWidth="1"/>
    <col min="19" max="19" width="4.42578125" style="603" customWidth="1"/>
    <col min="20" max="20" width="13.28515625" style="603" customWidth="1"/>
    <col min="21" max="21" width="3" style="603" customWidth="1"/>
    <col min="22" max="22" width="15.7109375" style="603" customWidth="1"/>
    <col min="23" max="23" width="2" style="603" customWidth="1"/>
    <col min="24" max="24" width="10.85546875" style="603" customWidth="1"/>
    <col min="25" max="25" width="12" style="603" customWidth="1"/>
    <col min="26" max="16384" width="9.140625" style="603"/>
  </cols>
  <sheetData>
    <row r="1" spans="1:22" ht="15.75" thickBot="1" x14ac:dyDescent="0.3">
      <c r="A1" s="601"/>
      <c r="B1" s="601"/>
      <c r="C1" s="601"/>
      <c r="D1" s="601"/>
      <c r="E1" s="601"/>
      <c r="F1" s="601"/>
      <c r="G1" s="601"/>
      <c r="H1" s="601"/>
      <c r="I1" s="601"/>
      <c r="J1" s="601"/>
      <c r="K1" s="601"/>
      <c r="L1" s="601"/>
      <c r="M1" s="601"/>
      <c r="N1" s="601"/>
      <c r="O1" s="601"/>
      <c r="P1" s="601"/>
      <c r="Q1" s="601"/>
      <c r="R1" s="601"/>
      <c r="S1" s="601"/>
      <c r="T1" s="601"/>
      <c r="U1" s="601"/>
      <c r="V1" s="601"/>
    </row>
    <row r="2" spans="1:22" ht="18" customHeight="1" thickBot="1" x14ac:dyDescent="0.3">
      <c r="A2" s="601"/>
      <c r="B2" s="1086" t="s">
        <v>178</v>
      </c>
      <c r="C2" s="1068"/>
      <c r="D2" s="1068"/>
      <c r="E2" s="1068"/>
      <c r="F2" s="1068"/>
      <c r="G2" s="1068"/>
      <c r="H2" s="1068"/>
      <c r="I2" s="1068"/>
      <c r="J2" s="1069"/>
      <c r="K2" s="601"/>
      <c r="L2" s="601"/>
      <c r="M2" s="1085" t="str">
        <f>+IF(OR('Year 11+ Risk Analysis'!M12&lt;&gt;0,'Year 11+ Risk Analysis'!M22&lt;&gt;0,'Year 11+ Risk Analysis'!M32&lt;&gt;0,'DSC Analysis'!F12&lt;&gt;0),"Warning: Entries in the 'Year 11+ Risk Analysis' or the 'DSC Analysis' worksheets must be cleared to have this worksheet's tables and graphs properly calculated.","")</f>
        <v/>
      </c>
      <c r="N2" s="1085"/>
      <c r="O2" s="1085"/>
      <c r="P2" s="1085"/>
      <c r="Q2" s="1085"/>
      <c r="R2" s="601"/>
      <c r="S2" s="601"/>
      <c r="T2" s="601"/>
      <c r="U2" s="601"/>
      <c r="V2" s="601"/>
    </row>
    <row r="3" spans="1:22" ht="18" customHeight="1" x14ac:dyDescent="0.25">
      <c r="A3" s="601"/>
      <c r="B3" s="1087" t="s">
        <v>124</v>
      </c>
      <c r="C3" s="1088"/>
      <c r="D3" s="1089" t="str">
        <f>+'eTool Data Analysis'!D3</f>
        <v>New Project Apartments</v>
      </c>
      <c r="E3" s="1090"/>
      <c r="F3" s="1090"/>
      <c r="G3" s="1090"/>
      <c r="H3" s="1090"/>
      <c r="I3" s="1090"/>
      <c r="J3" s="1091"/>
      <c r="K3" s="601"/>
      <c r="L3" s="601"/>
      <c r="M3" s="1085"/>
      <c r="N3" s="1085"/>
      <c r="O3" s="1085"/>
      <c r="P3" s="1085"/>
      <c r="Q3" s="1085"/>
      <c r="R3" s="601"/>
      <c r="S3" s="601"/>
      <c r="T3" s="601"/>
      <c r="U3" s="601"/>
      <c r="V3" s="601"/>
    </row>
    <row r="4" spans="1:22" ht="18" customHeight="1" thickBot="1" x14ac:dyDescent="0.3">
      <c r="A4" s="601"/>
      <c r="B4" s="1092" t="s">
        <v>128</v>
      </c>
      <c r="C4" s="1093"/>
      <c r="D4" s="1094">
        <f>+'eTool Data Analysis'!D4</f>
        <v>12345678</v>
      </c>
      <c r="E4" s="1095"/>
      <c r="F4" s="1095"/>
      <c r="G4" s="1095"/>
      <c r="H4" s="1095"/>
      <c r="I4" s="1095"/>
      <c r="J4" s="1096"/>
      <c r="K4" s="601"/>
      <c r="L4" s="601"/>
      <c r="M4" s="1085"/>
      <c r="N4" s="1085"/>
      <c r="O4" s="1085"/>
      <c r="P4" s="1085"/>
      <c r="Q4" s="1085"/>
      <c r="R4" s="601"/>
      <c r="S4" s="601"/>
      <c r="T4" s="601"/>
      <c r="U4" s="601"/>
      <c r="V4" s="601"/>
    </row>
    <row r="5" spans="1:22" ht="15" customHeight="1" thickBot="1" x14ac:dyDescent="0.3">
      <c r="A5" s="601"/>
      <c r="B5" s="601"/>
      <c r="C5" s="601"/>
      <c r="D5" s="601"/>
      <c r="E5" s="601"/>
      <c r="F5" s="601"/>
      <c r="G5" s="601"/>
      <c r="H5" s="601"/>
      <c r="I5" s="601"/>
      <c r="J5" s="601"/>
      <c r="K5" s="601"/>
      <c r="L5" s="601"/>
      <c r="M5" s="601"/>
      <c r="N5" s="601"/>
      <c r="O5" s="601"/>
      <c r="P5" s="601"/>
      <c r="Q5" s="601"/>
      <c r="R5" s="601"/>
      <c r="S5" s="601"/>
      <c r="T5" s="601"/>
      <c r="U5" s="601"/>
      <c r="V5" s="601"/>
    </row>
    <row r="6" spans="1:22" ht="21" customHeight="1" thickBot="1" x14ac:dyDescent="0.3">
      <c r="A6" s="601"/>
      <c r="B6" s="636" t="s">
        <v>179</v>
      </c>
      <c r="C6" s="1066" t="s">
        <v>180</v>
      </c>
      <c r="D6" s="1066"/>
      <c r="E6" s="1066"/>
      <c r="F6" s="1066"/>
      <c r="G6" s="1066"/>
      <c r="H6" s="1066"/>
      <c r="I6" s="1066"/>
      <c r="J6" s="1067"/>
      <c r="K6" s="601"/>
      <c r="L6" s="601"/>
      <c r="M6" s="601"/>
      <c r="N6" s="601"/>
      <c r="O6" s="601"/>
      <c r="P6" s="601"/>
      <c r="Q6" s="601"/>
      <c r="R6" s="601"/>
      <c r="S6" s="601"/>
      <c r="T6" s="601"/>
      <c r="U6" s="601"/>
      <c r="V6" s="601"/>
    </row>
    <row r="7" spans="1:22" ht="15" customHeight="1" thickBot="1" x14ac:dyDescent="0.3">
      <c r="A7" s="601"/>
      <c r="B7" s="744"/>
      <c r="C7" s="1001"/>
      <c r="D7" s="644"/>
      <c r="E7" s="644"/>
      <c r="F7" s="494"/>
      <c r="G7" s="644"/>
      <c r="H7" s="644"/>
      <c r="I7" s="644"/>
      <c r="J7" s="745"/>
      <c r="K7" s="601"/>
      <c r="L7" s="601"/>
      <c r="M7" s="601"/>
      <c r="N7" s="601"/>
      <c r="O7" s="601"/>
      <c r="P7" s="601"/>
      <c r="Q7" s="601"/>
      <c r="R7" s="601"/>
      <c r="S7" s="601"/>
      <c r="T7" s="601"/>
      <c r="U7" s="601"/>
      <c r="V7" s="601"/>
    </row>
    <row r="8" spans="1:22" ht="15.95" customHeight="1" thickBot="1" x14ac:dyDescent="0.3">
      <c r="A8" s="601"/>
      <c r="B8" s="744"/>
      <c r="C8" s="1101" t="s">
        <v>181</v>
      </c>
      <c r="D8" s="1102"/>
      <c r="E8" s="1102"/>
      <c r="F8" s="1102"/>
      <c r="G8" s="1102"/>
      <c r="H8" s="1102"/>
      <c r="I8" s="1103"/>
      <c r="J8" s="745"/>
      <c r="K8" s="601"/>
      <c r="L8" s="601"/>
      <c r="M8" s="601"/>
      <c r="N8" s="601"/>
      <c r="O8" s="601"/>
      <c r="P8" s="601"/>
      <c r="Q8" s="601"/>
      <c r="R8" s="601"/>
      <c r="S8" s="601"/>
      <c r="T8" s="601"/>
      <c r="U8" s="601"/>
      <c r="V8" s="601"/>
    </row>
    <row r="9" spans="1:22" ht="15.75" customHeight="1" x14ac:dyDescent="0.25">
      <c r="A9" s="601"/>
      <c r="B9" s="746" t="str">
        <f>+B12</f>
        <v>eTool data:</v>
      </c>
      <c r="C9" s="747">
        <f>+'eTool Data Engine'!G32</f>
        <v>0.02</v>
      </c>
      <c r="D9" s="748"/>
      <c r="E9" s="749">
        <f ca="1">+'eTool Data Engine'!F34</f>
        <v>0.02</v>
      </c>
      <c r="F9" s="748"/>
      <c r="G9" s="750">
        <f ca="1">+'eTool Data Engine'!F33</f>
        <v>1</v>
      </c>
      <c r="H9" s="751"/>
      <c r="I9" s="752"/>
      <c r="J9" s="745"/>
      <c r="K9" s="601"/>
      <c r="L9" s="601"/>
      <c r="M9" s="601"/>
      <c r="N9" s="601"/>
      <c r="O9" s="601"/>
      <c r="P9" s="601"/>
      <c r="Q9" s="601"/>
      <c r="R9" s="601"/>
      <c r="S9" s="601"/>
      <c r="T9" s="601"/>
      <c r="U9" s="601"/>
      <c r="V9" s="601"/>
    </row>
    <row r="10" spans="1:22" ht="30" customHeight="1" x14ac:dyDescent="0.25">
      <c r="A10" s="601"/>
      <c r="B10" s="753"/>
      <c r="C10" s="754" t="s">
        <v>182</v>
      </c>
      <c r="D10" s="755"/>
      <c r="E10" s="640" t="s">
        <v>183</v>
      </c>
      <c r="F10" s="755"/>
      <c r="G10" s="640" t="s">
        <v>184</v>
      </c>
      <c r="H10" s="756"/>
      <c r="I10" s="757" t="s">
        <v>185</v>
      </c>
      <c r="J10" s="758"/>
      <c r="K10" s="601"/>
      <c r="L10" s="601"/>
      <c r="M10" s="601"/>
      <c r="N10" s="601"/>
      <c r="O10" s="601"/>
      <c r="P10" s="601"/>
      <c r="Q10" s="601"/>
      <c r="R10" s="601"/>
      <c r="S10" s="601"/>
      <c r="T10" s="601"/>
      <c r="U10" s="601"/>
      <c r="V10" s="601"/>
    </row>
    <row r="11" spans="1:22" ht="15.95" customHeight="1" x14ac:dyDescent="0.25">
      <c r="A11" s="601"/>
      <c r="B11" s="753"/>
      <c r="C11" s="372">
        <v>0.02</v>
      </c>
      <c r="D11" s="644"/>
      <c r="E11" s="373">
        <v>0.02</v>
      </c>
      <c r="F11" s="759"/>
      <c r="G11" s="340">
        <v>1</v>
      </c>
      <c r="H11" s="760"/>
      <c r="I11" s="761">
        <f ca="1">+'Trial Deposits Engine'!G104</f>
        <v>11566.533142026259</v>
      </c>
      <c r="J11" s="762"/>
      <c r="K11" s="601"/>
      <c r="L11" s="601"/>
      <c r="M11" s="601"/>
      <c r="N11" s="601"/>
      <c r="O11" s="601"/>
      <c r="P11" s="601"/>
      <c r="Q11" s="601"/>
      <c r="R11" s="601"/>
      <c r="S11" s="601"/>
      <c r="T11" s="601"/>
      <c r="U11" s="601"/>
      <c r="V11" s="601"/>
    </row>
    <row r="12" spans="1:22" ht="21" customHeight="1" x14ac:dyDescent="0.25">
      <c r="A12" s="601"/>
      <c r="B12" s="746" t="s">
        <v>186</v>
      </c>
      <c r="C12" s="763"/>
      <c r="D12" s="748"/>
      <c r="E12" s="764">
        <f>+E32</f>
        <v>200000</v>
      </c>
      <c r="F12" s="765"/>
      <c r="G12" s="766">
        <f>+G37</f>
        <v>330</v>
      </c>
      <c r="H12" s="760"/>
      <c r="I12" s="767" t="str">
        <f ca="1">+_xlfn.CONCAT("Occuring in RY ",+'Trial Deposits Engine'!I104)</f>
        <v>Occuring in RY 10</v>
      </c>
      <c r="J12" s="762"/>
      <c r="K12" s="601"/>
      <c r="L12" s="601"/>
      <c r="M12" s="601"/>
      <c r="N12" s="601"/>
      <c r="O12" s="601"/>
      <c r="P12" s="601"/>
      <c r="Q12" s="601"/>
      <c r="R12" s="601"/>
      <c r="S12" s="601"/>
      <c r="T12" s="601"/>
      <c r="U12" s="601"/>
      <c r="V12" s="601"/>
    </row>
    <row r="13" spans="1:22" ht="16.5" customHeight="1" x14ac:dyDescent="0.25">
      <c r="A13" s="601"/>
      <c r="B13" s="637"/>
      <c r="C13" s="753"/>
      <c r="D13" s="768"/>
      <c r="E13" s="769" t="s">
        <v>7</v>
      </c>
      <c r="F13" s="768"/>
      <c r="G13" s="769" t="s">
        <v>187</v>
      </c>
      <c r="H13" s="644"/>
      <c r="I13" s="752"/>
      <c r="J13" s="752"/>
      <c r="K13" s="601"/>
      <c r="L13" s="601"/>
      <c r="M13" s="601"/>
      <c r="N13" s="601"/>
      <c r="O13" s="601"/>
      <c r="P13" s="601"/>
      <c r="Q13" s="601"/>
      <c r="R13" s="601"/>
      <c r="S13" s="601"/>
      <c r="T13" s="601"/>
      <c r="U13" s="601"/>
      <c r="V13" s="601"/>
    </row>
    <row r="14" spans="1:22" ht="15.95" customHeight="1" x14ac:dyDescent="0.25">
      <c r="A14" s="601"/>
      <c r="B14" s="1097" t="s">
        <v>188</v>
      </c>
      <c r="C14" s="770" t="s">
        <v>189</v>
      </c>
      <c r="D14" s="771"/>
      <c r="E14" s="335">
        <v>200000</v>
      </c>
      <c r="F14" s="756"/>
      <c r="G14" s="772">
        <f>+C35*G15</f>
        <v>19800</v>
      </c>
      <c r="H14" s="644"/>
      <c r="I14" s="757" t="s">
        <v>190</v>
      </c>
      <c r="J14" s="752"/>
      <c r="K14" s="601"/>
      <c r="L14" s="601"/>
      <c r="M14" s="601"/>
      <c r="N14" s="601"/>
      <c r="O14" s="601"/>
      <c r="P14" s="601"/>
      <c r="Q14" s="601"/>
      <c r="R14" s="601"/>
      <c r="S14" s="601"/>
      <c r="T14" s="601"/>
      <c r="U14" s="601"/>
      <c r="V14" s="601"/>
    </row>
    <row r="15" spans="1:22" ht="15.95" customHeight="1" x14ac:dyDescent="0.25">
      <c r="A15" s="601"/>
      <c r="B15" s="1097"/>
      <c r="C15" s="770" t="s">
        <v>191</v>
      </c>
      <c r="D15" s="771"/>
      <c r="E15" s="772">
        <f>E14/C35</f>
        <v>3333.3333333333335</v>
      </c>
      <c r="F15" s="773"/>
      <c r="G15" s="348">
        <v>330</v>
      </c>
      <c r="H15" s="644"/>
      <c r="I15" s="774">
        <f ca="1">+I11/(10*'Trial Deposits Analysis'!C35)</f>
        <v>19.27755523671043</v>
      </c>
      <c r="J15" s="752"/>
      <c r="K15" s="601"/>
      <c r="L15" s="601"/>
      <c r="M15" s="601"/>
      <c r="N15" s="601"/>
      <c r="O15" s="601"/>
      <c r="P15" s="601"/>
      <c r="Q15" s="601"/>
      <c r="R15" s="601"/>
      <c r="S15" s="601"/>
      <c r="T15" s="601"/>
      <c r="U15" s="601"/>
      <c r="V15" s="601"/>
    </row>
    <row r="16" spans="1:22" ht="15.75" customHeight="1" thickBot="1" x14ac:dyDescent="0.3">
      <c r="A16" s="601"/>
      <c r="B16" s="775">
        <f ca="1">+I32</f>
        <v>-0.40891696990001947</v>
      </c>
      <c r="C16" s="776"/>
      <c r="D16" s="655"/>
      <c r="E16" s="777"/>
      <c r="F16" s="655"/>
      <c r="G16" s="777"/>
      <c r="H16" s="655"/>
      <c r="I16" s="778"/>
      <c r="J16" s="752"/>
      <c r="K16" s="601"/>
      <c r="L16" s="601"/>
      <c r="M16" s="601"/>
      <c r="N16" s="601"/>
      <c r="O16" s="601"/>
      <c r="P16" s="601"/>
      <c r="Q16" s="601"/>
      <c r="R16" s="601"/>
      <c r="S16" s="601"/>
      <c r="T16" s="601"/>
      <c r="U16" s="601"/>
      <c r="V16" s="601"/>
    </row>
    <row r="17" spans="1:22" ht="15.75" customHeight="1" thickBot="1" x14ac:dyDescent="0.3">
      <c r="A17" s="601"/>
      <c r="B17" s="753"/>
      <c r="C17" s="644"/>
      <c r="D17" s="644"/>
      <c r="E17" s="644"/>
      <c r="F17" s="644"/>
      <c r="G17" s="644"/>
      <c r="H17" s="644"/>
      <c r="I17" s="644"/>
      <c r="J17" s="762"/>
      <c r="K17" s="601"/>
      <c r="L17" s="601"/>
      <c r="M17" s="601"/>
      <c r="N17" s="601"/>
      <c r="O17" s="601"/>
      <c r="P17" s="601"/>
      <c r="Q17" s="601"/>
      <c r="R17" s="601"/>
      <c r="S17" s="601"/>
      <c r="T17" s="601"/>
      <c r="U17" s="601"/>
      <c r="V17" s="601"/>
    </row>
    <row r="18" spans="1:22" ht="30" customHeight="1" thickBot="1" x14ac:dyDescent="0.3">
      <c r="A18" s="601"/>
      <c r="B18" s="753"/>
      <c r="C18" s="779" t="s">
        <v>192</v>
      </c>
      <c r="D18" s="644"/>
      <c r="E18" s="779" t="s">
        <v>193</v>
      </c>
      <c r="F18" s="494"/>
      <c r="G18" s="779" t="s">
        <v>194</v>
      </c>
      <c r="H18" s="644"/>
      <c r="I18" s="780" t="s">
        <v>195</v>
      </c>
      <c r="J18" s="762"/>
      <c r="K18" s="601"/>
      <c r="L18" s="601"/>
      <c r="M18" s="601"/>
      <c r="N18" s="601"/>
      <c r="O18" s="601"/>
      <c r="P18" s="601"/>
      <c r="Q18" s="601"/>
      <c r="R18" s="601"/>
      <c r="S18" s="601"/>
      <c r="T18" s="601"/>
      <c r="U18" s="601"/>
      <c r="V18" s="601"/>
    </row>
    <row r="19" spans="1:22" ht="20.100000000000001" customHeight="1" thickBot="1" x14ac:dyDescent="0.3">
      <c r="A19" s="601"/>
      <c r="B19" s="753"/>
      <c r="C19" s="611" t="str">
        <f ca="1">+IF(C20&lt;&gt;0,"FAIL","PASS")</f>
        <v>PASS</v>
      </c>
      <c r="D19" s="644"/>
      <c r="E19" s="611" t="str">
        <f ca="1">+IF(E20&lt;&gt;0,"FAIL","PASS")</f>
        <v>FAIL</v>
      </c>
      <c r="F19" s="781"/>
      <c r="G19" s="611" t="str">
        <f ca="1">+IF(G20&lt;&gt;0,"FAIL","PASS")</f>
        <v>PASS</v>
      </c>
      <c r="H19" s="781"/>
      <c r="I19" s="1106" t="str">
        <f ca="1">+IF(AND(C19="FAIL",E19="FAIL",G19="FAIL"),"VIOLATION EXISTS",IF(AND(C19="PASS",E19="FAIL",G19="FAIL"),"VIOLATION EXISTS",IF(AND(C19="FAIL",E19="FAIL",G19="PASS"),"VIOLATION EXISTS",IF(AND(C19="FAIL",E19="PASS",G19="FAIL"),"VIOLATION EXISTS","REQUIREMENTS MET"))))</f>
        <v>REQUIREMENTS MET</v>
      </c>
      <c r="J19" s="762"/>
      <c r="K19" s="601"/>
      <c r="L19" s="601"/>
      <c r="M19" s="601"/>
      <c r="N19" s="601"/>
      <c r="O19" s="601"/>
      <c r="P19" s="601"/>
      <c r="Q19" s="601"/>
      <c r="R19" s="601"/>
      <c r="S19" s="601"/>
      <c r="T19" s="601"/>
      <c r="U19" s="601"/>
      <c r="V19" s="601"/>
    </row>
    <row r="20" spans="1:22" ht="15.95" customHeight="1" x14ac:dyDescent="0.25">
      <c r="A20" s="601"/>
      <c r="B20" s="782" t="s">
        <v>136</v>
      </c>
      <c r="C20" s="783">
        <f ca="1">+I49</f>
        <v>0</v>
      </c>
      <c r="D20" s="784"/>
      <c r="E20" s="785">
        <f ca="1">+I65</f>
        <v>10</v>
      </c>
      <c r="F20" s="784"/>
      <c r="G20" s="785">
        <f ca="1">+I81</f>
        <v>0</v>
      </c>
      <c r="H20" s="644"/>
      <c r="I20" s="1107"/>
      <c r="J20" s="752"/>
      <c r="K20" s="601"/>
      <c r="L20" s="601"/>
      <c r="M20" s="601"/>
      <c r="N20" s="601"/>
      <c r="O20" s="601"/>
      <c r="P20" s="601"/>
      <c r="Q20" s="601"/>
      <c r="R20" s="601"/>
      <c r="S20" s="601"/>
      <c r="T20" s="601"/>
      <c r="U20" s="601"/>
      <c r="V20" s="601"/>
    </row>
    <row r="21" spans="1:22" ht="15.95" customHeight="1" thickBot="1" x14ac:dyDescent="0.3">
      <c r="A21" s="601"/>
      <c r="B21" s="786"/>
      <c r="C21" s="787" t="s">
        <v>196</v>
      </c>
      <c r="D21" s="788"/>
      <c r="E21" s="787" t="s">
        <v>196</v>
      </c>
      <c r="F21" s="789"/>
      <c r="G21" s="787" t="s">
        <v>196</v>
      </c>
      <c r="H21" s="644"/>
      <c r="I21" s="1108"/>
      <c r="J21" s="752"/>
      <c r="K21" s="601"/>
      <c r="L21" s="601"/>
      <c r="M21" s="601"/>
      <c r="N21" s="601"/>
      <c r="O21" s="601"/>
      <c r="P21" s="601"/>
      <c r="Q21" s="601"/>
      <c r="R21" s="601"/>
      <c r="S21" s="601"/>
      <c r="T21" s="601"/>
      <c r="U21" s="601"/>
      <c r="V21" s="601"/>
    </row>
    <row r="22" spans="1:22" ht="15.95" customHeight="1" x14ac:dyDescent="0.25">
      <c r="A22" s="601"/>
      <c r="B22" s="786"/>
      <c r="C22" s="790"/>
      <c r="D22" s="788"/>
      <c r="E22" s="790"/>
      <c r="F22" s="789"/>
      <c r="G22" s="790"/>
      <c r="H22" s="644"/>
      <c r="I22" s="791"/>
      <c r="J22" s="752"/>
      <c r="K22" s="601"/>
      <c r="L22" s="601"/>
      <c r="M22" s="601"/>
      <c r="N22" s="601"/>
      <c r="O22" s="601"/>
      <c r="P22" s="601"/>
      <c r="Q22" s="601"/>
      <c r="R22" s="601"/>
      <c r="S22" s="601"/>
      <c r="T22" s="601"/>
      <c r="U22" s="601"/>
      <c r="V22" s="601"/>
    </row>
    <row r="23" spans="1:22" ht="50.25" customHeight="1" x14ac:dyDescent="0.25">
      <c r="A23" s="601"/>
      <c r="B23" s="786"/>
      <c r="C23" s="1115" t="s">
        <v>549</v>
      </c>
      <c r="D23" s="1115"/>
      <c r="E23" s="1115"/>
      <c r="F23" s="1115"/>
      <c r="G23" s="1115"/>
      <c r="H23" s="1115"/>
      <c r="I23" s="1115"/>
      <c r="J23" s="752"/>
      <c r="K23" s="601"/>
      <c r="L23" s="601"/>
      <c r="M23" s="601"/>
      <c r="N23" s="601"/>
      <c r="O23" s="601"/>
      <c r="P23" s="601"/>
      <c r="Q23" s="601"/>
      <c r="R23" s="601"/>
      <c r="S23" s="601"/>
      <c r="T23" s="601"/>
      <c r="U23" s="601"/>
      <c r="V23" s="601"/>
    </row>
    <row r="24" spans="1:22" ht="16.5" customHeight="1" x14ac:dyDescent="0.25">
      <c r="A24" s="601"/>
      <c r="B24" s="786"/>
      <c r="C24" s="1115"/>
      <c r="D24" s="1115"/>
      <c r="E24" s="1115"/>
      <c r="F24" s="1115"/>
      <c r="G24" s="1115"/>
      <c r="H24" s="1115"/>
      <c r="I24" s="1115"/>
      <c r="J24" s="752"/>
      <c r="K24" s="601"/>
      <c r="L24" s="601"/>
      <c r="M24" s="601"/>
      <c r="N24" s="601"/>
      <c r="O24" s="601"/>
      <c r="P24" s="601"/>
      <c r="Q24" s="601"/>
      <c r="R24" s="601"/>
      <c r="S24" s="601"/>
      <c r="T24" s="601"/>
      <c r="U24" s="601"/>
      <c r="V24" s="601"/>
    </row>
    <row r="25" spans="1:22" ht="15.75" customHeight="1" thickBot="1" x14ac:dyDescent="0.3">
      <c r="A25" s="601"/>
      <c r="B25" s="792"/>
      <c r="C25" s="655"/>
      <c r="D25" s="655"/>
      <c r="E25" s="655"/>
      <c r="F25" s="655"/>
      <c r="G25" s="655"/>
      <c r="H25" s="655"/>
      <c r="I25" s="655"/>
      <c r="J25" s="793"/>
      <c r="K25" s="601"/>
      <c r="L25" s="601"/>
      <c r="M25" s="601"/>
      <c r="N25" s="601"/>
      <c r="O25" s="601"/>
      <c r="P25" s="601"/>
      <c r="Q25" s="601"/>
      <c r="R25" s="601"/>
      <c r="S25" s="601"/>
      <c r="T25" s="601"/>
      <c r="U25" s="601"/>
      <c r="V25" s="601"/>
    </row>
    <row r="26" spans="1:22" ht="15.95" customHeight="1" thickBot="1" x14ac:dyDescent="0.3">
      <c r="A26" s="601"/>
      <c r="B26" s="794"/>
      <c r="C26" s="602"/>
      <c r="D26" s="602"/>
      <c r="E26" s="602"/>
      <c r="F26" s="602"/>
      <c r="G26" s="601"/>
      <c r="H26" s="634" t="s">
        <v>197</v>
      </c>
      <c r="I26" s="635" t="s">
        <v>138</v>
      </c>
      <c r="J26" s="795"/>
      <c r="K26" s="601"/>
      <c r="L26" s="601"/>
      <c r="M26" s="601"/>
      <c r="N26" s="601"/>
      <c r="O26" s="601"/>
      <c r="P26" s="601"/>
      <c r="Q26" s="601"/>
      <c r="R26" s="601"/>
      <c r="S26" s="601"/>
      <c r="T26" s="601"/>
      <c r="U26" s="601"/>
      <c r="V26" s="601"/>
    </row>
    <row r="27" spans="1:22" ht="15" customHeight="1" x14ac:dyDescent="0.25">
      <c r="A27" s="601"/>
      <c r="B27" s="606"/>
      <c r="C27" s="694"/>
      <c r="D27" s="796"/>
      <c r="E27" s="694"/>
      <c r="F27" s="797"/>
      <c r="G27" s="694"/>
      <c r="H27" s="694"/>
      <c r="I27" s="798"/>
      <c r="J27" s="721"/>
      <c r="K27" s="601"/>
      <c r="L27" s="601"/>
      <c r="M27" s="601"/>
      <c r="N27" s="601"/>
      <c r="O27" s="601"/>
      <c r="P27" s="601"/>
      <c r="Q27" s="601"/>
      <c r="R27" s="601"/>
      <c r="S27" s="601"/>
      <c r="T27" s="601"/>
      <c r="U27" s="601"/>
      <c r="V27" s="601"/>
    </row>
    <row r="28" spans="1:22" ht="15.75" customHeight="1" x14ac:dyDescent="0.25">
      <c r="A28" s="601"/>
      <c r="B28" s="799" t="s">
        <v>198</v>
      </c>
      <c r="C28" s="1109" t="s">
        <v>199</v>
      </c>
      <c r="D28" s="1110"/>
      <c r="E28" s="1110"/>
      <c r="F28" s="1110"/>
      <c r="G28" s="1111"/>
      <c r="H28" s="619"/>
      <c r="I28" s="1104" t="s">
        <v>200</v>
      </c>
      <c r="J28" s="714"/>
      <c r="K28" s="601"/>
      <c r="L28" s="601"/>
      <c r="M28" s="601"/>
      <c r="N28" s="601"/>
      <c r="O28" s="601"/>
      <c r="P28" s="601"/>
      <c r="Q28" s="601"/>
      <c r="R28" s="601"/>
      <c r="S28" s="601"/>
      <c r="T28" s="601"/>
      <c r="U28" s="601"/>
      <c r="V28" s="601"/>
    </row>
    <row r="29" spans="1:22" ht="15.75" customHeight="1" x14ac:dyDescent="0.25">
      <c r="A29" s="601"/>
      <c r="B29" s="800"/>
      <c r="C29" s="801"/>
      <c r="D29" s="644"/>
      <c r="E29" s="769" t="s">
        <v>201</v>
      </c>
      <c r="F29" s="768"/>
      <c r="G29" s="802" t="s">
        <v>202</v>
      </c>
      <c r="H29" s="803"/>
      <c r="I29" s="1105"/>
      <c r="J29" s="714"/>
      <c r="K29" s="601"/>
      <c r="L29" s="601"/>
      <c r="M29" s="601"/>
      <c r="N29" s="601"/>
      <c r="O29" s="601"/>
      <c r="P29" s="601"/>
      <c r="Q29" s="601"/>
      <c r="R29" s="601"/>
      <c r="S29" s="601"/>
      <c r="T29" s="601"/>
      <c r="U29" s="601"/>
      <c r="V29" s="601"/>
    </row>
    <row r="30" spans="1:22" ht="15.95" customHeight="1" x14ac:dyDescent="0.25">
      <c r="A30" s="601"/>
      <c r="B30" s="800"/>
      <c r="C30" s="804" t="s">
        <v>189</v>
      </c>
      <c r="D30" s="494"/>
      <c r="E30" s="494"/>
      <c r="F30" s="494"/>
      <c r="G30" s="805"/>
      <c r="H30" s="619"/>
      <c r="I30" s="1105"/>
      <c r="J30" s="714"/>
      <c r="K30" s="601"/>
      <c r="L30" s="601"/>
      <c r="M30" s="601"/>
      <c r="N30" s="601"/>
      <c r="O30" s="601"/>
      <c r="P30" s="601"/>
      <c r="Q30" s="601"/>
      <c r="R30" s="601"/>
      <c r="S30" s="601"/>
      <c r="T30" s="601"/>
      <c r="U30" s="601"/>
      <c r="V30" s="601"/>
    </row>
    <row r="31" spans="1:22" ht="15" customHeight="1" x14ac:dyDescent="0.25">
      <c r="A31" s="601"/>
      <c r="B31" s="800"/>
      <c r="C31" s="806" t="s">
        <v>203</v>
      </c>
      <c r="D31" s="494"/>
      <c r="E31" s="807">
        <f>+E14</f>
        <v>200000</v>
      </c>
      <c r="F31" s="494"/>
      <c r="G31" s="808">
        <f>+G14</f>
        <v>19800</v>
      </c>
      <c r="H31" s="619"/>
      <c r="I31" s="1105"/>
      <c r="J31" s="714"/>
      <c r="K31" s="601"/>
      <c r="L31" s="601"/>
      <c r="M31" s="601"/>
      <c r="N31" s="601"/>
      <c r="O31" s="601"/>
      <c r="P31" s="601"/>
      <c r="Q31" s="601"/>
      <c r="R31" s="601"/>
      <c r="S31" s="601"/>
      <c r="T31" s="601"/>
      <c r="U31" s="601"/>
      <c r="V31" s="601"/>
    </row>
    <row r="32" spans="1:22" ht="15" customHeight="1" x14ac:dyDescent="0.25">
      <c r="A32" s="601"/>
      <c r="B32" s="800"/>
      <c r="C32" s="809" t="s">
        <v>204</v>
      </c>
      <c r="D32" s="494"/>
      <c r="E32" s="810">
        <f>+'eTool Data'!F4</f>
        <v>200000</v>
      </c>
      <c r="F32" s="642"/>
      <c r="G32" s="811">
        <f>+C35*G37</f>
        <v>19800</v>
      </c>
      <c r="H32" s="619"/>
      <c r="I32" s="812">
        <f ca="1">+O127</f>
        <v>-0.40891696990001947</v>
      </c>
      <c r="J32" s="714"/>
      <c r="K32" s="601"/>
      <c r="L32" s="601"/>
      <c r="M32" s="601"/>
      <c r="N32" s="601"/>
      <c r="O32" s="601"/>
      <c r="P32" s="601"/>
      <c r="Q32" s="601"/>
      <c r="R32" s="601"/>
      <c r="S32" s="601"/>
      <c r="T32" s="601"/>
      <c r="U32" s="601"/>
      <c r="V32" s="601"/>
    </row>
    <row r="33" spans="1:22" ht="15" customHeight="1" thickBot="1" x14ac:dyDescent="0.3">
      <c r="A33" s="601"/>
      <c r="B33" s="800"/>
      <c r="C33" s="806" t="s">
        <v>205</v>
      </c>
      <c r="D33" s="494"/>
      <c r="E33" s="813">
        <f>+E14-E32</f>
        <v>0</v>
      </c>
      <c r="F33" s="494"/>
      <c r="G33" s="814">
        <f>+G14-G32</f>
        <v>0</v>
      </c>
      <c r="H33" s="619"/>
      <c r="I33" s="1098" t="s">
        <v>206</v>
      </c>
      <c r="J33" s="714"/>
      <c r="K33" s="601"/>
      <c r="L33" s="601"/>
      <c r="M33" s="601"/>
      <c r="N33" s="601"/>
      <c r="O33" s="601"/>
      <c r="P33" s="601"/>
      <c r="Q33" s="601"/>
      <c r="R33" s="601"/>
      <c r="S33" s="601"/>
      <c r="T33" s="601"/>
      <c r="U33" s="601"/>
      <c r="V33" s="601"/>
    </row>
    <row r="34" spans="1:22" ht="19.5" customHeight="1" thickTop="1" x14ac:dyDescent="0.25">
      <c r="A34" s="601"/>
      <c r="B34" s="617"/>
      <c r="C34" s="804" t="s">
        <v>191</v>
      </c>
      <c r="D34" s="644"/>
      <c r="E34" s="644"/>
      <c r="F34" s="644"/>
      <c r="G34" s="815"/>
      <c r="H34" s="619"/>
      <c r="I34" s="1099"/>
      <c r="J34" s="714"/>
      <c r="K34" s="601"/>
      <c r="L34" s="601"/>
      <c r="M34" s="601"/>
      <c r="N34" s="601"/>
      <c r="O34" s="601"/>
      <c r="P34" s="601"/>
      <c r="Q34" s="601"/>
      <c r="R34" s="601"/>
      <c r="S34" s="601"/>
      <c r="T34" s="601"/>
      <c r="U34" s="601"/>
      <c r="V34" s="601"/>
    </row>
    <row r="35" spans="1:22" ht="15" customHeight="1" x14ac:dyDescent="0.25">
      <c r="A35" s="601"/>
      <c r="B35" s="800"/>
      <c r="C35" s="379">
        <f>+'eTool Data Engine'!C23</f>
        <v>60</v>
      </c>
      <c r="D35" s="816" t="s">
        <v>207</v>
      </c>
      <c r="E35" s="771"/>
      <c r="F35" s="644"/>
      <c r="G35" s="815"/>
      <c r="H35" s="817"/>
      <c r="I35" s="818"/>
      <c r="J35" s="714"/>
      <c r="K35" s="601"/>
      <c r="L35" s="601"/>
      <c r="M35" s="601"/>
      <c r="N35" s="601"/>
      <c r="O35" s="601"/>
      <c r="P35" s="601"/>
      <c r="Q35" s="601"/>
      <c r="R35" s="601"/>
      <c r="S35" s="601"/>
      <c r="T35" s="601"/>
      <c r="U35" s="601"/>
      <c r="V35" s="601"/>
    </row>
    <row r="36" spans="1:22" ht="15.75" customHeight="1" x14ac:dyDescent="0.25">
      <c r="A36" s="601"/>
      <c r="B36" s="617"/>
      <c r="C36" s="806" t="s">
        <v>203</v>
      </c>
      <c r="D36" s="494"/>
      <c r="E36" s="807">
        <f>+E15</f>
        <v>3333.3333333333335</v>
      </c>
      <c r="F36" s="494"/>
      <c r="G36" s="808">
        <f>+G15</f>
        <v>330</v>
      </c>
      <c r="H36" s="817"/>
      <c r="I36" s="1113" t="s">
        <v>208</v>
      </c>
      <c r="J36" s="714"/>
      <c r="K36" s="601"/>
      <c r="L36" s="601"/>
      <c r="M36" s="601"/>
      <c r="N36" s="601"/>
      <c r="O36" s="601"/>
      <c r="P36" s="601"/>
      <c r="Q36" s="601"/>
      <c r="R36" s="601"/>
      <c r="S36" s="601"/>
      <c r="T36" s="601"/>
      <c r="U36" s="601"/>
      <c r="V36" s="601"/>
    </row>
    <row r="37" spans="1:22" ht="15" customHeight="1" x14ac:dyDescent="0.25">
      <c r="A37" s="601"/>
      <c r="B37" s="617"/>
      <c r="C37" s="809" t="s">
        <v>204</v>
      </c>
      <c r="D37" s="494"/>
      <c r="E37" s="810">
        <f>+E32/C35</f>
        <v>3333.3333333333335</v>
      </c>
      <c r="F37" s="642"/>
      <c r="G37" s="811">
        <f>+'eTool Data'!F13</f>
        <v>330</v>
      </c>
      <c r="H37" s="817"/>
      <c r="I37" s="1114"/>
      <c r="J37" s="714"/>
      <c r="K37" s="601"/>
      <c r="L37" s="601"/>
      <c r="M37" s="601"/>
      <c r="N37" s="601"/>
      <c r="O37" s="601"/>
      <c r="P37" s="601"/>
      <c r="Q37" s="601"/>
      <c r="R37" s="601"/>
      <c r="S37" s="601"/>
      <c r="T37" s="601"/>
      <c r="U37" s="601"/>
      <c r="V37" s="601"/>
    </row>
    <row r="38" spans="1:22" ht="15" customHeight="1" thickBot="1" x14ac:dyDescent="0.3">
      <c r="A38" s="601"/>
      <c r="B38" s="617"/>
      <c r="C38" s="806" t="s">
        <v>205</v>
      </c>
      <c r="D38" s="494"/>
      <c r="E38" s="813">
        <f>+E15-E37</f>
        <v>0</v>
      </c>
      <c r="F38" s="494"/>
      <c r="G38" s="814">
        <f>G15-G37</f>
        <v>0</v>
      </c>
      <c r="H38" s="819"/>
      <c r="I38" s="820" t="s">
        <v>138</v>
      </c>
      <c r="J38" s="714"/>
      <c r="K38" s="601"/>
      <c r="L38" s="601"/>
      <c r="M38" s="601"/>
      <c r="N38" s="601"/>
      <c r="O38" s="601"/>
      <c r="P38" s="601"/>
      <c r="Q38" s="601"/>
      <c r="R38" s="601"/>
      <c r="S38" s="601"/>
      <c r="T38" s="601"/>
      <c r="U38" s="601"/>
      <c r="V38" s="601"/>
    </row>
    <row r="39" spans="1:22" ht="18" customHeight="1" thickTop="1" x14ac:dyDescent="0.25">
      <c r="A39" s="601"/>
      <c r="B39" s="617"/>
      <c r="C39" s="821"/>
      <c r="D39" s="822"/>
      <c r="E39" s="822"/>
      <c r="F39" s="822"/>
      <c r="G39" s="823"/>
      <c r="H39" s="619"/>
      <c r="I39" s="619"/>
      <c r="J39" s="714"/>
      <c r="K39" s="601"/>
      <c r="L39" s="601"/>
      <c r="M39" s="601"/>
      <c r="N39" s="601"/>
      <c r="O39" s="601"/>
      <c r="P39" s="601"/>
      <c r="Q39" s="601"/>
      <c r="R39" s="601"/>
      <c r="S39" s="601"/>
      <c r="T39" s="601"/>
      <c r="U39" s="601"/>
      <c r="V39" s="601"/>
    </row>
    <row r="40" spans="1:22" ht="16.5" customHeight="1" x14ac:dyDescent="0.25">
      <c r="A40" s="601"/>
      <c r="B40" s="617"/>
      <c r="C40" s="824"/>
      <c r="D40" s="824"/>
      <c r="E40" s="824"/>
      <c r="F40" s="824"/>
      <c r="G40" s="824"/>
      <c r="H40" s="825"/>
      <c r="I40" s="619"/>
      <c r="J40" s="714"/>
      <c r="K40" s="601"/>
      <c r="L40" s="601"/>
      <c r="M40" s="601"/>
      <c r="N40" s="601"/>
      <c r="O40" s="601"/>
      <c r="P40" s="601"/>
      <c r="Q40" s="601"/>
      <c r="R40" s="601"/>
      <c r="S40" s="601"/>
      <c r="T40" s="601"/>
      <c r="U40" s="601"/>
      <c r="V40" s="601"/>
    </row>
    <row r="41" spans="1:22" ht="15" customHeight="1" x14ac:dyDescent="0.25">
      <c r="A41" s="601"/>
      <c r="B41" s="617"/>
      <c r="C41" s="619"/>
      <c r="D41" s="619"/>
      <c r="E41" s="619"/>
      <c r="F41" s="619"/>
      <c r="G41" s="619"/>
      <c r="H41" s="825"/>
      <c r="I41" s="619"/>
      <c r="J41" s="714"/>
      <c r="K41" s="601"/>
      <c r="L41" s="601"/>
      <c r="M41" s="601"/>
      <c r="N41" s="601"/>
      <c r="O41" s="601"/>
      <c r="P41" s="601"/>
      <c r="Q41" s="601"/>
      <c r="R41" s="601"/>
      <c r="S41" s="601"/>
      <c r="T41" s="601"/>
      <c r="U41" s="601"/>
      <c r="V41" s="601"/>
    </row>
    <row r="42" spans="1:22" ht="15.95" customHeight="1" thickBot="1" x14ac:dyDescent="0.3">
      <c r="A42" s="601"/>
      <c r="B42" s="717"/>
      <c r="C42" s="826"/>
      <c r="D42" s="826"/>
      <c r="E42" s="826"/>
      <c r="F42" s="826"/>
      <c r="G42" s="826"/>
      <c r="H42" s="826"/>
      <c r="I42" s="718"/>
      <c r="J42" s="720"/>
      <c r="K42" s="602"/>
      <c r="L42" s="602"/>
      <c r="M42" s="602"/>
      <c r="N42" s="601"/>
      <c r="O42" s="601"/>
      <c r="P42" s="601"/>
      <c r="Q42" s="601"/>
      <c r="R42" s="601"/>
      <c r="S42" s="601"/>
      <c r="T42" s="601"/>
      <c r="U42" s="601"/>
      <c r="V42" s="601"/>
    </row>
    <row r="43" spans="1:22" ht="9.75" customHeight="1" x14ac:dyDescent="0.25">
      <c r="A43" s="601"/>
      <c r="B43" s="602"/>
      <c r="C43" s="602"/>
      <c r="D43" s="602"/>
      <c r="E43" s="602"/>
      <c r="F43" s="602"/>
      <c r="G43" s="602"/>
      <c r="H43" s="602"/>
      <c r="I43" s="602"/>
      <c r="J43" s="602"/>
      <c r="K43" s="602"/>
      <c r="L43" s="602"/>
      <c r="M43" s="602"/>
      <c r="N43" s="601"/>
      <c r="O43" s="601"/>
      <c r="P43" s="601"/>
      <c r="Q43" s="601"/>
      <c r="R43" s="601"/>
      <c r="S43" s="601"/>
      <c r="T43" s="601"/>
      <c r="U43" s="601"/>
      <c r="V43" s="601"/>
    </row>
    <row r="44" spans="1:22" ht="28.5" customHeight="1" x14ac:dyDescent="0.25">
      <c r="A44" s="601"/>
      <c r="B44" s="602"/>
      <c r="C44" s="602"/>
      <c r="D44" s="602"/>
      <c r="E44" s="602"/>
      <c r="F44" s="602"/>
      <c r="G44" s="602"/>
      <c r="H44" s="602"/>
      <c r="I44" s="827"/>
      <c r="J44" s="602"/>
      <c r="K44" s="602"/>
      <c r="L44" s="602"/>
      <c r="M44" s="602"/>
      <c r="N44" s="601"/>
      <c r="O44" s="601"/>
      <c r="P44" s="601"/>
      <c r="Q44" s="601"/>
      <c r="R44" s="601"/>
      <c r="S44" s="601"/>
      <c r="T44" s="601"/>
      <c r="U44" s="601"/>
      <c r="V44" s="601"/>
    </row>
    <row r="45" spans="1:22" ht="10.5" customHeight="1" x14ac:dyDescent="0.25">
      <c r="A45" s="601"/>
      <c r="B45" s="601"/>
      <c r="C45" s="601"/>
      <c r="D45" s="601"/>
      <c r="E45" s="601"/>
      <c r="F45" s="601"/>
      <c r="G45" s="601"/>
      <c r="H45" s="601"/>
      <c r="I45" s="601"/>
      <c r="J45" s="601"/>
      <c r="K45" s="601"/>
      <c r="L45" s="601"/>
      <c r="M45" s="601"/>
      <c r="N45" s="601"/>
      <c r="O45" s="601"/>
      <c r="P45" s="601"/>
      <c r="Q45" s="601"/>
      <c r="R45" s="601"/>
      <c r="S45" s="601"/>
      <c r="T45" s="601"/>
      <c r="U45" s="601"/>
      <c r="V45" s="601"/>
    </row>
    <row r="46" spans="1:22" ht="12.75" customHeight="1" thickBot="1" x14ac:dyDescent="0.3">
      <c r="A46" s="601"/>
      <c r="B46" s="601"/>
      <c r="C46" s="601"/>
      <c r="D46" s="601"/>
      <c r="E46" s="601"/>
      <c r="F46" s="601"/>
      <c r="G46" s="601"/>
      <c r="H46" s="601"/>
      <c r="I46" s="601"/>
      <c r="J46" s="601"/>
      <c r="K46" s="601"/>
      <c r="L46" s="601"/>
      <c r="M46" s="601"/>
      <c r="N46" s="601"/>
      <c r="O46" s="601"/>
      <c r="P46" s="601"/>
      <c r="Q46" s="601"/>
      <c r="R46" s="601"/>
      <c r="S46" s="601"/>
      <c r="T46" s="601"/>
      <c r="U46" s="601"/>
      <c r="V46" s="601"/>
    </row>
    <row r="47" spans="1:22" ht="15.75" thickBot="1" x14ac:dyDescent="0.3">
      <c r="A47" s="601"/>
      <c r="B47" s="693"/>
      <c r="C47" s="694"/>
      <c r="D47" s="694"/>
      <c r="E47" s="694"/>
      <c r="F47" s="694"/>
      <c r="G47" s="695"/>
      <c r="H47" s="694"/>
      <c r="I47" s="694"/>
      <c r="J47" s="721"/>
      <c r="K47" s="601"/>
      <c r="L47" s="601"/>
      <c r="M47" s="601"/>
      <c r="N47" s="601"/>
      <c r="O47" s="601"/>
      <c r="P47" s="601"/>
      <c r="Q47" s="601"/>
      <c r="R47" s="601"/>
      <c r="S47" s="601"/>
      <c r="T47" s="601"/>
      <c r="U47" s="601"/>
      <c r="V47" s="601"/>
    </row>
    <row r="48" spans="1:22" ht="15" customHeight="1" x14ac:dyDescent="0.25">
      <c r="A48" s="601"/>
      <c r="B48" s="617"/>
      <c r="C48" s="1050" t="s">
        <v>209</v>
      </c>
      <c r="D48" s="1051"/>
      <c r="E48" s="1051"/>
      <c r="F48" s="1051"/>
      <c r="G48" s="1052"/>
      <c r="H48" s="619"/>
      <c r="I48" s="699" t="s">
        <v>158</v>
      </c>
      <c r="J48" s="714"/>
      <c r="K48" s="601"/>
      <c r="L48" s="601"/>
      <c r="M48" s="601"/>
      <c r="N48" s="601"/>
      <c r="O48" s="601"/>
      <c r="P48" s="601"/>
      <c r="Q48" s="601"/>
      <c r="R48" s="601"/>
      <c r="S48" s="601"/>
      <c r="T48" s="601"/>
      <c r="U48" s="601"/>
      <c r="V48" s="601"/>
    </row>
    <row r="49" spans="1:22" ht="18.75" customHeight="1" thickBot="1" x14ac:dyDescent="0.3">
      <c r="A49" s="601"/>
      <c r="B49" s="702"/>
      <c r="C49" s="619"/>
      <c r="D49" s="619"/>
      <c r="E49" s="619"/>
      <c r="F49" s="619"/>
      <c r="G49" s="703"/>
      <c r="H49" s="619"/>
      <c r="I49" s="704">
        <f ca="1">+COUNTIF(I51:I60,"Not OK")</f>
        <v>0</v>
      </c>
      <c r="J49" s="714"/>
      <c r="K49" s="601"/>
      <c r="L49" s="601"/>
      <c r="M49" s="601"/>
      <c r="N49" s="601"/>
      <c r="O49" s="601"/>
      <c r="P49" s="601"/>
      <c r="Q49" s="601"/>
      <c r="R49" s="601"/>
      <c r="S49" s="601"/>
      <c r="T49" s="601"/>
      <c r="U49" s="601"/>
      <c r="V49" s="601"/>
    </row>
    <row r="50" spans="1:22" ht="42" customHeight="1" x14ac:dyDescent="0.25">
      <c r="A50" s="601"/>
      <c r="B50" s="705" t="s">
        <v>159</v>
      </c>
      <c r="C50" s="706" t="s">
        <v>210</v>
      </c>
      <c r="D50" s="619"/>
      <c r="E50" s="706" t="s">
        <v>161</v>
      </c>
      <c r="F50" s="619"/>
      <c r="G50" s="706" t="s">
        <v>211</v>
      </c>
      <c r="H50" s="619"/>
      <c r="I50" s="706" t="s">
        <v>212</v>
      </c>
      <c r="J50" s="714"/>
      <c r="K50" s="601"/>
      <c r="L50" s="601"/>
      <c r="M50" s="601"/>
      <c r="N50" s="601"/>
      <c r="O50" s="601"/>
      <c r="P50" s="601"/>
      <c r="Q50" s="601"/>
      <c r="R50" s="601"/>
      <c r="S50" s="601"/>
      <c r="T50" s="601"/>
      <c r="U50" s="601"/>
      <c r="V50" s="601"/>
    </row>
    <row r="51" spans="1:22" ht="15" customHeight="1" x14ac:dyDescent="0.25">
      <c r="A51" s="601"/>
      <c r="B51" s="709">
        <v>1</v>
      </c>
      <c r="C51" s="711">
        <f t="shared" ref="C51:C60" ca="1" si="0">+M108</f>
        <v>221800</v>
      </c>
      <c r="D51" s="828"/>
      <c r="E51" s="710">
        <f t="shared" ref="E51:E60" si="1">+E108</f>
        <v>50151</v>
      </c>
      <c r="F51" s="828"/>
      <c r="G51" s="711">
        <f t="shared" ref="G51:G60" ca="1" si="2">+C51-E51</f>
        <v>171649</v>
      </c>
      <c r="H51" s="619"/>
      <c r="I51" s="713" t="str">
        <f ca="1">+IF(C51&gt;=0,"OK","Not OK")</f>
        <v>OK</v>
      </c>
      <c r="J51" s="714"/>
      <c r="K51" s="601"/>
      <c r="L51" s="601"/>
      <c r="M51" s="601"/>
      <c r="N51" s="601"/>
      <c r="O51" s="601"/>
      <c r="P51" s="601"/>
      <c r="Q51" s="601"/>
      <c r="R51" s="601"/>
      <c r="S51" s="601"/>
      <c r="T51" s="601"/>
      <c r="U51" s="601"/>
      <c r="V51" s="601"/>
    </row>
    <row r="52" spans="1:22" ht="15" customHeight="1" x14ac:dyDescent="0.25">
      <c r="A52" s="601"/>
      <c r="B52" s="709">
        <v>2</v>
      </c>
      <c r="C52" s="711">
        <f t="shared" ca="1" si="0"/>
        <v>230232</v>
      </c>
      <c r="D52" s="828"/>
      <c r="E52" s="710">
        <f t="shared" si="1"/>
        <v>51154</v>
      </c>
      <c r="F52" s="828"/>
      <c r="G52" s="711">
        <f t="shared" ca="1" si="2"/>
        <v>179078</v>
      </c>
      <c r="H52" s="619"/>
      <c r="I52" s="713" t="str">
        <f ca="1">+IF(C52&gt;=0,"OK","Not OK")</f>
        <v>OK</v>
      </c>
      <c r="J52" s="714"/>
      <c r="K52" s="601"/>
      <c r="L52" s="601"/>
      <c r="M52" s="601"/>
      <c r="N52" s="601"/>
      <c r="O52" s="601"/>
      <c r="P52" s="601"/>
      <c r="Q52" s="601"/>
      <c r="R52" s="601"/>
      <c r="S52" s="601"/>
      <c r="T52" s="601"/>
      <c r="U52" s="601"/>
      <c r="V52" s="601"/>
    </row>
    <row r="53" spans="1:22" ht="15" customHeight="1" x14ac:dyDescent="0.25">
      <c r="A53" s="601"/>
      <c r="B53" s="709">
        <v>3</v>
      </c>
      <c r="C53" s="711">
        <f t="shared" ca="1" si="0"/>
        <v>177387.4</v>
      </c>
      <c r="D53" s="828"/>
      <c r="E53" s="710">
        <f t="shared" si="1"/>
        <v>52177</v>
      </c>
      <c r="F53" s="828"/>
      <c r="G53" s="711">
        <f t="shared" ca="1" si="2"/>
        <v>125210.4</v>
      </c>
      <c r="H53" s="619"/>
      <c r="I53" s="716" t="str">
        <f t="shared" ref="I53:I60" ca="1" si="3">+IF(G53&gt;=0,"OK","Not OK")</f>
        <v>OK</v>
      </c>
      <c r="J53" s="714"/>
      <c r="K53" s="601"/>
      <c r="L53" s="601"/>
      <c r="M53" s="601"/>
      <c r="N53" s="601"/>
      <c r="O53" s="601"/>
      <c r="P53" s="601"/>
      <c r="Q53" s="601"/>
      <c r="R53" s="601"/>
      <c r="S53" s="601"/>
      <c r="T53" s="601"/>
      <c r="U53" s="601"/>
      <c r="V53" s="601"/>
    </row>
    <row r="54" spans="1:22" x14ac:dyDescent="0.25">
      <c r="A54" s="601"/>
      <c r="B54" s="709">
        <v>4</v>
      </c>
      <c r="C54" s="711">
        <f t="shared" ca="1" si="0"/>
        <v>152218.12939999998</v>
      </c>
      <c r="D54" s="828"/>
      <c r="E54" s="710">
        <f t="shared" si="1"/>
        <v>53220</v>
      </c>
      <c r="F54" s="828"/>
      <c r="G54" s="711">
        <f t="shared" ca="1" si="2"/>
        <v>98998.129399999976</v>
      </c>
      <c r="H54" s="619"/>
      <c r="I54" s="716" t="str">
        <f t="shared" ca="1" si="3"/>
        <v>OK</v>
      </c>
      <c r="J54" s="714"/>
      <c r="K54" s="601"/>
      <c r="L54" s="601"/>
      <c r="M54" s="601"/>
      <c r="N54" s="601"/>
      <c r="O54" s="601"/>
      <c r="P54" s="601"/>
      <c r="Q54" s="601"/>
      <c r="R54" s="601"/>
      <c r="S54" s="601"/>
      <c r="T54" s="601"/>
      <c r="U54" s="601"/>
      <c r="V54" s="601"/>
    </row>
    <row r="55" spans="1:22" x14ac:dyDescent="0.25">
      <c r="A55" s="601"/>
      <c r="B55" s="709">
        <v>5</v>
      </c>
      <c r="C55" s="711">
        <f t="shared" ca="1" si="0"/>
        <v>124372.55810899998</v>
      </c>
      <c r="D55" s="828"/>
      <c r="E55" s="710">
        <f t="shared" si="1"/>
        <v>54285</v>
      </c>
      <c r="F55" s="828"/>
      <c r="G55" s="711">
        <f t="shared" ca="1" si="2"/>
        <v>70087.558108999976</v>
      </c>
      <c r="H55" s="619"/>
      <c r="I55" s="716" t="str">
        <f t="shared" ca="1" si="3"/>
        <v>OK</v>
      </c>
      <c r="J55" s="714"/>
      <c r="K55" s="601"/>
      <c r="L55" s="601"/>
      <c r="M55" s="601"/>
      <c r="N55" s="601"/>
      <c r="O55" s="601"/>
      <c r="P55" s="601"/>
      <c r="Q55" s="601"/>
      <c r="R55" s="601"/>
      <c r="S55" s="601"/>
      <c r="T55" s="601"/>
      <c r="U55" s="601"/>
      <c r="V55" s="601"/>
    </row>
    <row r="56" spans="1:22" x14ac:dyDescent="0.25">
      <c r="A56" s="601"/>
      <c r="B56" s="709">
        <v>6</v>
      </c>
      <c r="C56" s="711">
        <f t="shared" ca="1" si="0"/>
        <v>99256.946383994975</v>
      </c>
      <c r="D56" s="828"/>
      <c r="E56" s="710">
        <f t="shared" si="1"/>
        <v>55370</v>
      </c>
      <c r="F56" s="828"/>
      <c r="G56" s="711">
        <f t="shared" ca="1" si="2"/>
        <v>43886.946383994975</v>
      </c>
      <c r="H56" s="619"/>
      <c r="I56" s="716" t="str">
        <f t="shared" ca="1" si="3"/>
        <v>OK</v>
      </c>
      <c r="J56" s="714"/>
      <c r="K56" s="601"/>
      <c r="L56" s="601"/>
      <c r="M56" s="601"/>
      <c r="N56" s="601"/>
      <c r="O56" s="601"/>
      <c r="P56" s="601"/>
      <c r="Q56" s="601"/>
      <c r="R56" s="601"/>
      <c r="S56" s="601"/>
      <c r="T56" s="601"/>
      <c r="U56" s="601"/>
      <c r="V56" s="601"/>
    </row>
    <row r="57" spans="1:22" x14ac:dyDescent="0.25">
      <c r="A57" s="601"/>
      <c r="B57" s="709">
        <v>7</v>
      </c>
      <c r="C57" s="711">
        <f t="shared" ca="1" si="0"/>
        <v>102677.81648118209</v>
      </c>
      <c r="D57" s="828"/>
      <c r="E57" s="710">
        <f t="shared" si="1"/>
        <v>56478</v>
      </c>
      <c r="F57" s="828"/>
      <c r="G57" s="711">
        <f t="shared" ca="1" si="2"/>
        <v>46199.81648118209</v>
      </c>
      <c r="H57" s="619"/>
      <c r="I57" s="716" t="str">
        <f t="shared" ca="1" si="3"/>
        <v>OK</v>
      </c>
      <c r="J57" s="714"/>
      <c r="K57" s="601"/>
      <c r="L57" s="601"/>
      <c r="M57" s="601"/>
      <c r="N57" s="601"/>
      <c r="O57" s="601"/>
      <c r="P57" s="601"/>
      <c r="Q57" s="601"/>
      <c r="R57" s="601"/>
      <c r="S57" s="601"/>
      <c r="T57" s="601"/>
      <c r="U57" s="601"/>
      <c r="V57" s="601"/>
    </row>
    <row r="58" spans="1:22" x14ac:dyDescent="0.25">
      <c r="A58" s="601"/>
      <c r="B58" s="709">
        <v>8</v>
      </c>
      <c r="C58" s="711">
        <f t="shared" ca="1" si="0"/>
        <v>82734.959947855561</v>
      </c>
      <c r="D58" s="828"/>
      <c r="E58" s="710">
        <f t="shared" si="1"/>
        <v>57607</v>
      </c>
      <c r="F58" s="828"/>
      <c r="G58" s="711">
        <f t="shared" ca="1" si="2"/>
        <v>25127.959947855561</v>
      </c>
      <c r="H58" s="619"/>
      <c r="I58" s="716" t="str">
        <f t="shared" ca="1" si="3"/>
        <v>OK</v>
      </c>
      <c r="J58" s="714"/>
      <c r="K58" s="601"/>
      <c r="L58" s="601"/>
      <c r="M58" s="601"/>
      <c r="N58" s="601"/>
      <c r="O58" s="601"/>
      <c r="P58" s="601"/>
      <c r="Q58" s="601"/>
      <c r="R58" s="601"/>
      <c r="S58" s="601"/>
      <c r="T58" s="601"/>
      <c r="U58" s="601"/>
      <c r="V58" s="601"/>
    </row>
    <row r="59" spans="1:22" x14ac:dyDescent="0.25">
      <c r="A59" s="601"/>
      <c r="B59" s="709">
        <v>9</v>
      </c>
      <c r="C59" s="711">
        <f t="shared" ca="1" si="0"/>
        <v>76929.840090918253</v>
      </c>
      <c r="D59" s="828"/>
      <c r="E59" s="710">
        <f t="shared" si="1"/>
        <v>58760</v>
      </c>
      <c r="F59" s="828"/>
      <c r="G59" s="711">
        <f t="shared" ca="1" si="2"/>
        <v>18169.840090918253</v>
      </c>
      <c r="H59" s="619"/>
      <c r="I59" s="716" t="str">
        <f t="shared" ca="1" si="3"/>
        <v>OK</v>
      </c>
      <c r="J59" s="714"/>
      <c r="K59" s="601"/>
      <c r="L59" s="601"/>
      <c r="M59" s="601"/>
      <c r="N59" s="601"/>
      <c r="O59" s="601"/>
      <c r="P59" s="601"/>
      <c r="Q59" s="601"/>
      <c r="R59" s="601"/>
      <c r="S59" s="601"/>
      <c r="T59" s="601"/>
      <c r="U59" s="601"/>
      <c r="V59" s="601"/>
    </row>
    <row r="60" spans="1:22" x14ac:dyDescent="0.25">
      <c r="A60" s="601"/>
      <c r="B60" s="709">
        <v>10</v>
      </c>
      <c r="C60" s="711">
        <f t="shared" ca="1" si="0"/>
        <v>71501.620551003783</v>
      </c>
      <c r="D60" s="828"/>
      <c r="E60" s="710">
        <f t="shared" si="1"/>
        <v>59935</v>
      </c>
      <c r="F60" s="828"/>
      <c r="G60" s="711">
        <f t="shared" ca="1" si="2"/>
        <v>11566.620551003783</v>
      </c>
      <c r="H60" s="619"/>
      <c r="I60" s="716" t="str">
        <f t="shared" ca="1" si="3"/>
        <v>OK</v>
      </c>
      <c r="J60" s="714"/>
      <c r="K60" s="601"/>
      <c r="L60" s="601"/>
      <c r="M60" s="601"/>
      <c r="N60" s="601"/>
      <c r="O60" s="601"/>
      <c r="P60" s="601"/>
      <c r="Q60" s="601"/>
      <c r="R60" s="601"/>
      <c r="S60" s="601"/>
      <c r="T60" s="601"/>
      <c r="U60" s="601"/>
      <c r="V60" s="601"/>
    </row>
    <row r="61" spans="1:22" ht="15.75" thickBot="1" x14ac:dyDescent="0.3">
      <c r="A61" s="601"/>
      <c r="B61" s="717"/>
      <c r="C61" s="829"/>
      <c r="D61" s="718"/>
      <c r="E61" s="718"/>
      <c r="F61" s="718"/>
      <c r="G61" s="829"/>
      <c r="H61" s="718"/>
      <c r="I61" s="718"/>
      <c r="J61" s="720"/>
      <c r="K61" s="601"/>
      <c r="L61" s="601"/>
      <c r="M61" s="601"/>
      <c r="N61" s="601"/>
      <c r="O61" s="601"/>
      <c r="P61" s="601"/>
      <c r="Q61" s="601"/>
      <c r="R61" s="601"/>
      <c r="S61" s="601"/>
      <c r="T61" s="601"/>
      <c r="U61" s="601"/>
      <c r="V61" s="601"/>
    </row>
    <row r="62" spans="1:22" ht="15.75" thickBot="1" x14ac:dyDescent="0.3">
      <c r="A62" s="601"/>
      <c r="B62" s="601"/>
      <c r="C62" s="601"/>
      <c r="D62" s="601"/>
      <c r="E62" s="601"/>
      <c r="F62" s="601"/>
      <c r="G62" s="601"/>
      <c r="H62" s="601"/>
      <c r="I62" s="601"/>
      <c r="J62" s="601"/>
      <c r="K62" s="601"/>
      <c r="L62" s="601"/>
      <c r="M62" s="601"/>
      <c r="N62" s="601"/>
      <c r="O62" s="601"/>
      <c r="P62" s="601"/>
      <c r="Q62" s="601"/>
      <c r="R62" s="601"/>
      <c r="S62" s="601"/>
      <c r="T62" s="601"/>
      <c r="U62" s="601"/>
      <c r="V62" s="601"/>
    </row>
    <row r="63" spans="1:22" ht="15.75" thickBot="1" x14ac:dyDescent="0.3">
      <c r="A63" s="601"/>
      <c r="B63" s="693"/>
      <c r="C63" s="694"/>
      <c r="D63" s="694"/>
      <c r="E63" s="694"/>
      <c r="F63" s="694"/>
      <c r="G63" s="695"/>
      <c r="H63" s="694"/>
      <c r="I63" s="694"/>
      <c r="J63" s="721"/>
      <c r="K63" s="602"/>
      <c r="L63" s="601"/>
      <c r="M63" s="601"/>
      <c r="N63" s="601"/>
      <c r="O63" s="601"/>
      <c r="P63" s="601"/>
      <c r="Q63" s="601"/>
      <c r="R63" s="601"/>
      <c r="S63" s="601"/>
      <c r="T63" s="601"/>
      <c r="U63" s="601"/>
      <c r="V63" s="601"/>
    </row>
    <row r="64" spans="1:22" ht="15.95" customHeight="1" x14ac:dyDescent="0.25">
      <c r="A64" s="601"/>
      <c r="B64" s="617"/>
      <c r="C64" s="1050" t="s">
        <v>213</v>
      </c>
      <c r="D64" s="1051"/>
      <c r="E64" s="1051"/>
      <c r="F64" s="1051"/>
      <c r="G64" s="1052"/>
      <c r="H64" s="619"/>
      <c r="I64" s="830" t="s">
        <v>165</v>
      </c>
      <c r="J64" s="714"/>
      <c r="K64" s="602"/>
      <c r="L64" s="601"/>
      <c r="M64" s="601"/>
      <c r="N64" s="601"/>
      <c r="O64" s="601"/>
      <c r="P64" s="601"/>
      <c r="Q64" s="601"/>
      <c r="R64" s="601"/>
      <c r="S64" s="601"/>
      <c r="T64" s="601"/>
      <c r="U64" s="601"/>
      <c r="V64" s="601"/>
    </row>
    <row r="65" spans="1:22" ht="16.5" thickBot="1" x14ac:dyDescent="0.3">
      <c r="A65" s="601"/>
      <c r="B65" s="702"/>
      <c r="C65" s="619"/>
      <c r="D65" s="619"/>
      <c r="E65" s="619"/>
      <c r="F65" s="619"/>
      <c r="G65" s="703"/>
      <c r="H65" s="619"/>
      <c r="I65" s="831">
        <f ca="1">+COUNTIF(I67:I76,"Not OK")</f>
        <v>10</v>
      </c>
      <c r="J65" s="714"/>
      <c r="K65" s="795"/>
      <c r="L65" s="601"/>
      <c r="M65" s="601"/>
      <c r="N65" s="601"/>
      <c r="O65" s="601"/>
      <c r="P65" s="601"/>
      <c r="Q65" s="601"/>
      <c r="R65" s="601"/>
      <c r="S65" s="601"/>
      <c r="T65" s="601"/>
      <c r="U65" s="601"/>
      <c r="V65" s="601"/>
    </row>
    <row r="66" spans="1:22" ht="42" customHeight="1" x14ac:dyDescent="0.25">
      <c r="A66" s="601"/>
      <c r="B66" s="705" t="s">
        <v>159</v>
      </c>
      <c r="C66" s="706" t="s">
        <v>210</v>
      </c>
      <c r="D66" s="619"/>
      <c r="E66" s="706" t="s">
        <v>161</v>
      </c>
      <c r="F66" s="619"/>
      <c r="G66" s="706" t="s">
        <v>211</v>
      </c>
      <c r="H66" s="619"/>
      <c r="I66" s="708" t="s">
        <v>214</v>
      </c>
      <c r="J66" s="714"/>
      <c r="K66" s="795"/>
      <c r="L66" s="601"/>
      <c r="M66" s="601"/>
      <c r="N66" s="601"/>
      <c r="O66" s="601"/>
      <c r="P66" s="601"/>
      <c r="Q66" s="601"/>
      <c r="R66" s="601"/>
      <c r="S66" s="601"/>
      <c r="T66" s="601"/>
      <c r="U66" s="601"/>
      <c r="V66" s="601"/>
    </row>
    <row r="67" spans="1:22" x14ac:dyDescent="0.25">
      <c r="A67" s="601"/>
      <c r="B67" s="709">
        <v>11</v>
      </c>
      <c r="C67" s="711">
        <f t="shared" ref="C67:C76" ca="1" si="4">+M118</f>
        <v>-36982.765624834967</v>
      </c>
      <c r="D67" s="828"/>
      <c r="E67" s="710">
        <f t="shared" ref="E67:E76" si="5">+E118</f>
        <v>61133</v>
      </c>
      <c r="F67" s="828"/>
      <c r="G67" s="711">
        <f t="shared" ref="G67:G76" ca="1" si="6">+C67-E67</f>
        <v>-98115.765624834967</v>
      </c>
      <c r="H67" s="619"/>
      <c r="I67" s="716" t="str">
        <f ca="1">+IF(G67&gt;=0,"OK","Not OK")</f>
        <v>Not OK</v>
      </c>
      <c r="J67" s="714"/>
      <c r="K67" s="602"/>
      <c r="L67" s="601"/>
      <c r="M67" s="601"/>
      <c r="N67" s="601"/>
      <c r="O67" s="601"/>
      <c r="P67" s="601"/>
      <c r="Q67" s="601"/>
      <c r="R67" s="601"/>
      <c r="S67" s="601"/>
      <c r="T67" s="601"/>
      <c r="U67" s="601"/>
      <c r="V67" s="601"/>
    </row>
    <row r="68" spans="1:22" x14ac:dyDescent="0.25">
      <c r="A68" s="601"/>
      <c r="B68" s="709">
        <v>12</v>
      </c>
      <c r="C68" s="711">
        <f t="shared" ca="1" si="4"/>
        <v>-141039.95431862085</v>
      </c>
      <c r="D68" s="828"/>
      <c r="E68" s="710">
        <f t="shared" si="5"/>
        <v>62356</v>
      </c>
      <c r="F68" s="828"/>
      <c r="G68" s="711">
        <f t="shared" ca="1" si="6"/>
        <v>-203395.95431862085</v>
      </c>
      <c r="H68" s="619"/>
      <c r="I68" s="716" t="str">
        <f t="shared" ref="I68:I76" ca="1" si="7">+IF(G68&gt;=0,"OK","Not OK")</f>
        <v>Not OK</v>
      </c>
      <c r="J68" s="714"/>
      <c r="K68" s="602"/>
      <c r="L68" s="601"/>
      <c r="M68" s="601"/>
      <c r="N68" s="601"/>
      <c r="O68" s="601"/>
      <c r="P68" s="601"/>
      <c r="Q68" s="601"/>
      <c r="R68" s="601"/>
      <c r="S68" s="601"/>
      <c r="T68" s="601"/>
      <c r="U68" s="601"/>
      <c r="V68" s="601"/>
    </row>
    <row r="69" spans="1:22" x14ac:dyDescent="0.25">
      <c r="A69" s="601"/>
      <c r="B69" s="709">
        <v>13</v>
      </c>
      <c r="C69" s="711">
        <f t="shared" ca="1" si="4"/>
        <v>-171835.76678628245</v>
      </c>
      <c r="D69" s="828"/>
      <c r="E69" s="710">
        <f t="shared" si="5"/>
        <v>63603</v>
      </c>
      <c r="F69" s="828"/>
      <c r="G69" s="711">
        <f t="shared" ca="1" si="6"/>
        <v>-235438.76678628245</v>
      </c>
      <c r="H69" s="619"/>
      <c r="I69" s="716" t="str">
        <f t="shared" ca="1" si="7"/>
        <v>Not OK</v>
      </c>
      <c r="J69" s="714"/>
      <c r="K69" s="602"/>
      <c r="L69" s="601"/>
      <c r="M69" s="601"/>
      <c r="N69" s="601"/>
      <c r="O69" s="601"/>
      <c r="P69" s="601"/>
      <c r="Q69" s="601"/>
      <c r="R69" s="601"/>
      <c r="S69" s="601"/>
      <c r="T69" s="601"/>
      <c r="U69" s="601"/>
      <c r="V69" s="601"/>
    </row>
    <row r="70" spans="1:22" x14ac:dyDescent="0.25">
      <c r="A70" s="601"/>
      <c r="B70" s="709">
        <v>14</v>
      </c>
      <c r="C70" s="711">
        <f t="shared" ca="1" si="4"/>
        <v>-215984.35550329729</v>
      </c>
      <c r="D70" s="828"/>
      <c r="E70" s="710">
        <f t="shared" si="5"/>
        <v>64875</v>
      </c>
      <c r="F70" s="828"/>
      <c r="G70" s="711">
        <f t="shared" ca="1" si="6"/>
        <v>-280859.35550329729</v>
      </c>
      <c r="H70" s="619"/>
      <c r="I70" s="716" t="str">
        <f t="shared" ca="1" si="7"/>
        <v>Not OK</v>
      </c>
      <c r="J70" s="714"/>
      <c r="K70" s="602"/>
      <c r="L70" s="601"/>
      <c r="M70" s="601"/>
      <c r="N70" s="601"/>
      <c r="O70" s="601"/>
      <c r="P70" s="601"/>
      <c r="Q70" s="601"/>
      <c r="R70" s="601"/>
      <c r="S70" s="601"/>
      <c r="T70" s="601"/>
      <c r="U70" s="601"/>
      <c r="V70" s="601"/>
    </row>
    <row r="71" spans="1:22" ht="15" customHeight="1" x14ac:dyDescent="0.25">
      <c r="A71" s="601"/>
      <c r="B71" s="709">
        <v>15</v>
      </c>
      <c r="C71" s="711">
        <f t="shared" ca="1" si="4"/>
        <v>-307888.67599465244</v>
      </c>
      <c r="D71" s="828"/>
      <c r="E71" s="710">
        <f t="shared" si="5"/>
        <v>66173</v>
      </c>
      <c r="F71" s="828"/>
      <c r="G71" s="711">
        <f t="shared" ca="1" si="6"/>
        <v>-374061.67599465244</v>
      </c>
      <c r="H71" s="619"/>
      <c r="I71" s="716" t="str">
        <f t="shared" ca="1" si="7"/>
        <v>Not OK</v>
      </c>
      <c r="J71" s="714"/>
      <c r="K71" s="602"/>
      <c r="L71" s="601"/>
      <c r="M71" s="601"/>
      <c r="N71" s="601"/>
      <c r="O71" s="601"/>
      <c r="P71" s="601"/>
      <c r="Q71" s="601"/>
      <c r="R71" s="601"/>
      <c r="S71" s="601"/>
      <c r="T71" s="601"/>
      <c r="U71" s="601"/>
      <c r="V71" s="601"/>
    </row>
    <row r="72" spans="1:22" x14ac:dyDescent="0.25">
      <c r="A72" s="601"/>
      <c r="B72" s="709">
        <v>16</v>
      </c>
      <c r="C72" s="711">
        <f t="shared" ca="1" si="4"/>
        <v>-295095.48289583466</v>
      </c>
      <c r="D72" s="828"/>
      <c r="E72" s="710">
        <f t="shared" si="5"/>
        <v>67496</v>
      </c>
      <c r="F72" s="828"/>
      <c r="G72" s="711">
        <f t="shared" ca="1" si="6"/>
        <v>-362591.48289583466</v>
      </c>
      <c r="H72" s="619"/>
      <c r="I72" s="716" t="str">
        <f t="shared" ca="1" si="7"/>
        <v>Not OK</v>
      </c>
      <c r="J72" s="714"/>
      <c r="K72" s="602"/>
      <c r="L72" s="601"/>
      <c r="M72" s="601"/>
      <c r="N72" s="601"/>
      <c r="O72" s="601"/>
      <c r="P72" s="601"/>
      <c r="Q72" s="601"/>
      <c r="R72" s="601"/>
      <c r="S72" s="601"/>
      <c r="T72" s="601"/>
      <c r="U72" s="601"/>
      <c r="V72" s="601"/>
    </row>
    <row r="73" spans="1:22" x14ac:dyDescent="0.25">
      <c r="A73" s="601"/>
      <c r="B73" s="709">
        <v>17</v>
      </c>
      <c r="C73" s="711">
        <f t="shared" ca="1" si="4"/>
        <v>-267914.32593504054</v>
      </c>
      <c r="D73" s="828"/>
      <c r="E73" s="710">
        <f t="shared" si="5"/>
        <v>68846</v>
      </c>
      <c r="F73" s="828"/>
      <c r="G73" s="711">
        <f t="shared" ca="1" si="6"/>
        <v>-336760.32593504054</v>
      </c>
      <c r="H73" s="619"/>
      <c r="I73" s="716" t="str">
        <f t="shared" ca="1" si="7"/>
        <v>Not OK</v>
      </c>
      <c r="J73" s="714"/>
      <c r="K73" s="602"/>
      <c r="L73" s="601"/>
      <c r="M73" s="601"/>
      <c r="N73" s="601"/>
      <c r="O73" s="601"/>
      <c r="P73" s="601"/>
      <c r="Q73" s="601"/>
      <c r="R73" s="601"/>
      <c r="S73" s="601"/>
      <c r="T73" s="601"/>
      <c r="U73" s="601"/>
      <c r="V73" s="601"/>
    </row>
    <row r="74" spans="1:22" x14ac:dyDescent="0.25">
      <c r="A74" s="601"/>
      <c r="B74" s="709">
        <v>18</v>
      </c>
      <c r="C74" s="711">
        <f t="shared" ca="1" si="4"/>
        <v>-284015.5458350305</v>
      </c>
      <c r="D74" s="828"/>
      <c r="E74" s="710">
        <f t="shared" si="5"/>
        <v>70223</v>
      </c>
      <c r="F74" s="828"/>
      <c r="G74" s="711">
        <f t="shared" ca="1" si="6"/>
        <v>-354238.5458350305</v>
      </c>
      <c r="H74" s="619"/>
      <c r="I74" s="716" t="str">
        <f t="shared" ca="1" si="7"/>
        <v>Not OK</v>
      </c>
      <c r="J74" s="714"/>
      <c r="K74" s="602"/>
      <c r="L74" s="601"/>
      <c r="M74" s="601"/>
      <c r="N74" s="601"/>
      <c r="O74" s="601"/>
      <c r="P74" s="601"/>
      <c r="Q74" s="601"/>
      <c r="R74" s="601"/>
      <c r="S74" s="601"/>
      <c r="T74" s="601"/>
      <c r="U74" s="601"/>
      <c r="V74" s="601"/>
    </row>
    <row r="75" spans="1:22" x14ac:dyDescent="0.25">
      <c r="A75" s="601"/>
      <c r="B75" s="709">
        <v>19</v>
      </c>
      <c r="C75" s="711">
        <f t="shared" ca="1" si="4"/>
        <v>-292605.2701330203</v>
      </c>
      <c r="D75" s="828"/>
      <c r="E75" s="710">
        <f t="shared" si="5"/>
        <v>71628</v>
      </c>
      <c r="F75" s="828"/>
      <c r="G75" s="711">
        <f t="shared" ca="1" si="6"/>
        <v>-364233.2701330203</v>
      </c>
      <c r="H75" s="619"/>
      <c r="I75" s="716" t="str">
        <f t="shared" ca="1" si="7"/>
        <v>Not OK</v>
      </c>
      <c r="J75" s="714"/>
      <c r="K75" s="602"/>
      <c r="L75" s="601"/>
      <c r="M75" s="601"/>
      <c r="N75" s="601"/>
      <c r="O75" s="601"/>
      <c r="P75" s="601"/>
      <c r="Q75" s="601"/>
      <c r="R75" s="601"/>
      <c r="S75" s="601"/>
      <c r="T75" s="601"/>
      <c r="U75" s="601"/>
      <c r="V75" s="601"/>
    </row>
    <row r="76" spans="1:22" x14ac:dyDescent="0.25">
      <c r="A76" s="601"/>
      <c r="B76" s="709">
        <v>20</v>
      </c>
      <c r="C76" s="711">
        <f t="shared" ca="1" si="4"/>
        <v>-560246.4089169699</v>
      </c>
      <c r="D76" s="828"/>
      <c r="E76" s="710">
        <f t="shared" si="5"/>
        <v>73060</v>
      </c>
      <c r="F76" s="828"/>
      <c r="G76" s="711">
        <f t="shared" ca="1" si="6"/>
        <v>-633306.4089169699</v>
      </c>
      <c r="H76" s="619"/>
      <c r="I76" s="716" t="str">
        <f t="shared" ca="1" si="7"/>
        <v>Not OK</v>
      </c>
      <c r="J76" s="714"/>
      <c r="K76" s="602"/>
      <c r="L76" s="601"/>
      <c r="M76" s="601"/>
      <c r="N76" s="601"/>
      <c r="O76" s="601"/>
      <c r="P76" s="601"/>
      <c r="Q76" s="601"/>
      <c r="R76" s="601"/>
      <c r="S76" s="601"/>
      <c r="T76" s="601"/>
      <c r="U76" s="601"/>
      <c r="V76" s="601"/>
    </row>
    <row r="77" spans="1:22" ht="17.25" customHeight="1" thickBot="1" x14ac:dyDescent="0.3">
      <c r="A77" s="601"/>
      <c r="B77" s="717"/>
      <c r="C77" s="829"/>
      <c r="D77" s="718"/>
      <c r="E77" s="718"/>
      <c r="F77" s="718"/>
      <c r="G77" s="829"/>
      <c r="H77" s="718"/>
      <c r="I77" s="718"/>
      <c r="J77" s="720"/>
      <c r="K77" s="602"/>
      <c r="L77" s="601"/>
      <c r="M77" s="601"/>
      <c r="N77" s="601"/>
      <c r="O77" s="601"/>
      <c r="P77" s="601"/>
      <c r="Q77" s="601"/>
      <c r="R77" s="601"/>
      <c r="S77" s="601"/>
      <c r="T77" s="601"/>
      <c r="U77" s="601"/>
      <c r="V77" s="601"/>
    </row>
    <row r="78" spans="1:22" ht="15.75" thickBot="1" x14ac:dyDescent="0.3">
      <c r="A78" s="601"/>
      <c r="B78" s="601"/>
      <c r="C78" s="601"/>
      <c r="D78" s="601"/>
      <c r="E78" s="601"/>
      <c r="F78" s="601"/>
      <c r="G78" s="601"/>
      <c r="H78" s="601"/>
      <c r="I78" s="601"/>
      <c r="J78" s="601"/>
      <c r="K78" s="601"/>
      <c r="L78" s="601"/>
      <c r="M78" s="601"/>
      <c r="N78" s="601"/>
      <c r="O78" s="601"/>
      <c r="P78" s="601"/>
      <c r="Q78" s="601"/>
      <c r="R78" s="601"/>
      <c r="S78" s="601"/>
      <c r="T78" s="601"/>
      <c r="U78" s="601"/>
      <c r="V78" s="601"/>
    </row>
    <row r="79" spans="1:22" ht="15.75" thickBot="1" x14ac:dyDescent="0.3">
      <c r="A79" s="601"/>
      <c r="B79" s="606"/>
      <c r="C79" s="832"/>
      <c r="D79" s="694"/>
      <c r="E79" s="694"/>
      <c r="F79" s="694"/>
      <c r="G79" s="832"/>
      <c r="H79" s="694"/>
      <c r="I79" s="724"/>
      <c r="J79" s="721"/>
      <c r="K79" s="601"/>
      <c r="L79" s="601"/>
      <c r="M79" s="601"/>
      <c r="N79" s="601"/>
      <c r="O79" s="601"/>
      <c r="P79" s="601"/>
      <c r="Q79" s="601"/>
      <c r="R79" s="601"/>
      <c r="S79" s="601"/>
      <c r="T79" s="601"/>
      <c r="U79" s="601"/>
      <c r="V79" s="601"/>
    </row>
    <row r="80" spans="1:22" ht="15.95" customHeight="1" x14ac:dyDescent="0.25">
      <c r="A80" s="601"/>
      <c r="B80" s="617"/>
      <c r="C80" s="1050" t="s">
        <v>215</v>
      </c>
      <c r="D80" s="1051"/>
      <c r="E80" s="1051"/>
      <c r="F80" s="1051"/>
      <c r="G80" s="1052"/>
      <c r="H80" s="619"/>
      <c r="I80" s="833" t="s">
        <v>216</v>
      </c>
      <c r="J80" s="714"/>
      <c r="K80" s="601"/>
      <c r="L80" s="601"/>
      <c r="M80" s="601"/>
      <c r="N80" s="601"/>
      <c r="O80" s="601"/>
      <c r="P80" s="601"/>
      <c r="Q80" s="601"/>
      <c r="R80" s="601"/>
      <c r="S80" s="601"/>
      <c r="T80" s="601"/>
      <c r="U80" s="601"/>
      <c r="V80" s="601"/>
    </row>
    <row r="81" spans="1:22" ht="15.95" customHeight="1" thickBot="1" x14ac:dyDescent="0.3">
      <c r="A81" s="601"/>
      <c r="B81" s="617"/>
      <c r="C81" s="619"/>
      <c r="D81" s="619"/>
      <c r="E81" s="619"/>
      <c r="F81" s="619"/>
      <c r="G81" s="619"/>
      <c r="H81" s="619"/>
      <c r="I81" s="704">
        <f ca="1">+COUNTIF(I83:I92,"Not OK")</f>
        <v>0</v>
      </c>
      <c r="J81" s="714"/>
      <c r="K81" s="601"/>
      <c r="L81" s="601"/>
      <c r="M81" s="601"/>
      <c r="N81" s="601"/>
      <c r="O81" s="601"/>
      <c r="P81" s="601"/>
      <c r="Q81" s="601"/>
      <c r="R81" s="601"/>
      <c r="S81" s="601"/>
      <c r="T81" s="601"/>
      <c r="U81" s="601"/>
      <c r="V81" s="601"/>
    </row>
    <row r="82" spans="1:22" ht="53.25" customHeight="1" x14ac:dyDescent="0.25">
      <c r="A82" s="601"/>
      <c r="B82" s="705" t="s">
        <v>159</v>
      </c>
      <c r="C82" s="706" t="s">
        <v>217</v>
      </c>
      <c r="D82" s="725"/>
      <c r="E82" s="706" t="s">
        <v>170</v>
      </c>
      <c r="F82" s="725"/>
      <c r="G82" s="706" t="s">
        <v>218</v>
      </c>
      <c r="H82" s="619"/>
      <c r="I82" s="708" t="s">
        <v>219</v>
      </c>
      <c r="J82" s="714"/>
      <c r="K82" s="601"/>
      <c r="L82" s="601"/>
      <c r="M82" s="601"/>
      <c r="N82" s="601"/>
      <c r="O82" s="601"/>
      <c r="P82" s="601"/>
      <c r="Q82" s="601"/>
      <c r="R82" s="601"/>
      <c r="S82" s="601"/>
      <c r="T82" s="601"/>
      <c r="U82" s="601"/>
      <c r="V82" s="601"/>
    </row>
    <row r="83" spans="1:22" x14ac:dyDescent="0.25">
      <c r="A83" s="601"/>
      <c r="B83" s="709">
        <f>+'eTool Data Analysis'!B86</f>
        <v>11</v>
      </c>
      <c r="C83" s="351">
        <f ca="1">+'eTool Data Engine'!P48</f>
        <v>-98115.765624834967</v>
      </c>
      <c r="D83" s="723"/>
      <c r="E83" s="350">
        <f>+'eTool Data Analysis'!E86</f>
        <v>1190684.5274243876</v>
      </c>
      <c r="F83" s="723"/>
      <c r="G83" s="727">
        <f t="shared" ref="G83:G92" ca="1" si="8">+C83+E83</f>
        <v>1092568.7617995527</v>
      </c>
      <c r="H83" s="619"/>
      <c r="I83" s="716" t="str">
        <f t="shared" ref="I83:I92" ca="1" si="9">+IF(G83&gt;=0,"OK","Not OK")</f>
        <v>OK</v>
      </c>
      <c r="J83" s="714"/>
      <c r="K83" s="601"/>
      <c r="L83" s="601"/>
      <c r="M83" s="601"/>
      <c r="N83" s="601"/>
      <c r="O83" s="601"/>
      <c r="P83" s="601"/>
      <c r="Q83" s="601"/>
      <c r="R83" s="601"/>
      <c r="S83" s="601"/>
      <c r="T83" s="601"/>
      <c r="U83" s="601"/>
      <c r="V83" s="601"/>
    </row>
    <row r="84" spans="1:22" x14ac:dyDescent="0.25">
      <c r="A84" s="601"/>
      <c r="B84" s="709">
        <f>+'eTool Data Analysis'!B87</f>
        <v>12</v>
      </c>
      <c r="C84" s="351">
        <f ca="1">+'eTool Data Engine'!Q48</f>
        <v>-203395.95431862085</v>
      </c>
      <c r="D84" s="723"/>
      <c r="E84" s="350">
        <f>+'eTool Data Analysis'!E87</f>
        <v>1322623.9635163136</v>
      </c>
      <c r="F84" s="723"/>
      <c r="G84" s="727">
        <f t="shared" ca="1" si="8"/>
        <v>1119228.0091976929</v>
      </c>
      <c r="H84" s="619"/>
      <c r="I84" s="716" t="str">
        <f t="shared" ca="1" si="9"/>
        <v>OK</v>
      </c>
      <c r="J84" s="714"/>
      <c r="K84" s="601"/>
      <c r="L84" s="601"/>
      <c r="M84" s="601"/>
      <c r="N84" s="601"/>
      <c r="O84" s="601"/>
      <c r="P84" s="601"/>
      <c r="Q84" s="601"/>
      <c r="R84" s="601"/>
      <c r="S84" s="601"/>
      <c r="T84" s="601"/>
      <c r="U84" s="601"/>
      <c r="V84" s="601"/>
    </row>
    <row r="85" spans="1:22" x14ac:dyDescent="0.25">
      <c r="A85" s="601"/>
      <c r="B85" s="709">
        <f>+'eTool Data Analysis'!B88</f>
        <v>13</v>
      </c>
      <c r="C85" s="351">
        <f ca="1">+'eTool Data Engine'!R48</f>
        <v>-235438.76678628245</v>
      </c>
      <c r="D85" s="723"/>
      <c r="E85" s="350">
        <f>+'eTool Data Analysis'!E88</f>
        <v>1459119.9107971424</v>
      </c>
      <c r="F85" s="723"/>
      <c r="G85" s="727">
        <f t="shared" ca="1" si="8"/>
        <v>1223681.14401086</v>
      </c>
      <c r="H85" s="619"/>
      <c r="I85" s="716" t="str">
        <f t="shared" ca="1" si="9"/>
        <v>OK</v>
      </c>
      <c r="J85" s="714"/>
      <c r="K85" s="601"/>
      <c r="L85" s="601"/>
      <c r="M85" s="601"/>
      <c r="N85" s="601"/>
      <c r="O85" s="601"/>
      <c r="P85" s="601"/>
      <c r="Q85" s="601"/>
      <c r="R85" s="601"/>
      <c r="S85" s="601"/>
      <c r="T85" s="601"/>
      <c r="U85" s="601"/>
      <c r="V85" s="601"/>
    </row>
    <row r="86" spans="1:22" x14ac:dyDescent="0.25">
      <c r="A86" s="601"/>
      <c r="B86" s="709">
        <f>+'eTool Data Analysis'!B89</f>
        <v>14</v>
      </c>
      <c r="C86" s="351">
        <f ca="1">+'eTool Data Engine'!S48</f>
        <v>-280859.35550329729</v>
      </c>
      <c r="D86" s="723"/>
      <c r="E86" s="350">
        <f>+'eTool Data Analysis'!E89</f>
        <v>1600329.7277855258</v>
      </c>
      <c r="F86" s="723"/>
      <c r="G86" s="727">
        <f t="shared" ca="1" si="8"/>
        <v>1319470.3722822284</v>
      </c>
      <c r="H86" s="619"/>
      <c r="I86" s="716" t="str">
        <f t="shared" ca="1" si="9"/>
        <v>OK</v>
      </c>
      <c r="J86" s="714"/>
      <c r="K86" s="601"/>
      <c r="L86" s="601"/>
      <c r="M86" s="601"/>
      <c r="N86" s="601"/>
      <c r="O86" s="601"/>
      <c r="P86" s="601"/>
      <c r="Q86" s="601"/>
      <c r="R86" s="601"/>
      <c r="S86" s="601"/>
      <c r="T86" s="601"/>
      <c r="U86" s="601"/>
      <c r="V86" s="601"/>
    </row>
    <row r="87" spans="1:22" ht="15" customHeight="1" x14ac:dyDescent="0.25">
      <c r="A87" s="601"/>
      <c r="B87" s="709">
        <f>+'eTool Data Analysis'!B90</f>
        <v>15</v>
      </c>
      <c r="C87" s="351">
        <f ca="1">+'eTool Data Engine'!T48</f>
        <v>-374061.67599465244</v>
      </c>
      <c r="D87" s="723"/>
      <c r="E87" s="350">
        <f>+'eTool Data Analysis'!E90</f>
        <v>1746416.207355991</v>
      </c>
      <c r="F87" s="723"/>
      <c r="G87" s="727">
        <f t="shared" ca="1" si="8"/>
        <v>1372354.5313613387</v>
      </c>
      <c r="H87" s="619"/>
      <c r="I87" s="716" t="str">
        <f t="shared" ca="1" si="9"/>
        <v>OK</v>
      </c>
      <c r="J87" s="714"/>
      <c r="K87" s="601"/>
      <c r="L87" s="601"/>
      <c r="M87" s="601"/>
      <c r="N87" s="601"/>
      <c r="O87" s="601"/>
      <c r="P87" s="601"/>
      <c r="Q87" s="601"/>
      <c r="R87" s="601"/>
      <c r="S87" s="601"/>
      <c r="T87" s="601"/>
      <c r="U87" s="601"/>
      <c r="V87" s="601"/>
    </row>
    <row r="88" spans="1:22" x14ac:dyDescent="0.25">
      <c r="A88" s="601"/>
      <c r="B88" s="709">
        <f>+'eTool Data Analysis'!B91</f>
        <v>16</v>
      </c>
      <c r="C88" s="351">
        <f ca="1">+'eTool Data Engine'!U48</f>
        <v>-362591.48289583466</v>
      </c>
      <c r="D88" s="723"/>
      <c r="E88" s="350">
        <f>+'eTool Data Analysis'!E91</f>
        <v>1897547.7644137293</v>
      </c>
      <c r="F88" s="723"/>
      <c r="G88" s="727">
        <f t="shared" ca="1" si="8"/>
        <v>1534956.2815178947</v>
      </c>
      <c r="H88" s="619"/>
      <c r="I88" s="716" t="str">
        <f t="shared" ca="1" si="9"/>
        <v>OK</v>
      </c>
      <c r="J88" s="714"/>
      <c r="K88" s="601"/>
      <c r="L88" s="601"/>
      <c r="M88" s="601"/>
      <c r="N88" s="601"/>
      <c r="O88" s="601"/>
      <c r="P88" s="601"/>
      <c r="Q88" s="601"/>
      <c r="R88" s="601"/>
      <c r="S88" s="601"/>
      <c r="T88" s="601"/>
      <c r="U88" s="601"/>
      <c r="V88" s="601"/>
    </row>
    <row r="89" spans="1:22" x14ac:dyDescent="0.25">
      <c r="A89" s="601"/>
      <c r="B89" s="709">
        <f>+'eTool Data Analysis'!B92</f>
        <v>17</v>
      </c>
      <c r="C89" s="351">
        <f ca="1">+'eTool Data Engine'!V48</f>
        <v>-336760.32593504054</v>
      </c>
      <c r="D89" s="723"/>
      <c r="E89" s="350">
        <f>+'eTool Data Analysis'!E92</f>
        <v>2053898.6300506722</v>
      </c>
      <c r="F89" s="723"/>
      <c r="G89" s="727">
        <f t="shared" ca="1" si="8"/>
        <v>1717138.3041156316</v>
      </c>
      <c r="H89" s="619"/>
      <c r="I89" s="716" t="str">
        <f t="shared" ca="1" si="9"/>
        <v>OK</v>
      </c>
      <c r="J89" s="714"/>
      <c r="K89" s="601"/>
      <c r="L89" s="601"/>
      <c r="M89" s="601"/>
      <c r="N89" s="601"/>
      <c r="O89" s="601"/>
      <c r="P89" s="601"/>
      <c r="Q89" s="601"/>
      <c r="R89" s="601"/>
      <c r="S89" s="601"/>
      <c r="T89" s="601"/>
      <c r="U89" s="601"/>
      <c r="V89" s="601"/>
    </row>
    <row r="90" spans="1:22" ht="14.25" customHeight="1" x14ac:dyDescent="0.25">
      <c r="A90" s="601"/>
      <c r="B90" s="709">
        <f>+'eTool Data Analysis'!B93</f>
        <v>18</v>
      </c>
      <c r="C90" s="351">
        <f ca="1">+'eTool Data Engine'!W48</f>
        <v>-354238.5458350305</v>
      </c>
      <c r="D90" s="723"/>
      <c r="E90" s="350">
        <f>+'eTool Data Analysis'!E93</f>
        <v>2215649.0524067585</v>
      </c>
      <c r="F90" s="723"/>
      <c r="G90" s="727">
        <f t="shared" ca="1" si="8"/>
        <v>1861410.506571728</v>
      </c>
      <c r="H90" s="619"/>
      <c r="I90" s="716" t="str">
        <f t="shared" ca="1" si="9"/>
        <v>OK</v>
      </c>
      <c r="J90" s="714"/>
      <c r="K90" s="601"/>
      <c r="L90" s="601"/>
      <c r="M90" s="601"/>
      <c r="N90" s="601"/>
      <c r="O90" s="601"/>
      <c r="P90" s="601"/>
      <c r="Q90" s="601"/>
      <c r="R90" s="601"/>
      <c r="S90" s="601"/>
      <c r="T90" s="601"/>
      <c r="U90" s="601"/>
      <c r="V90" s="601"/>
    </row>
    <row r="91" spans="1:22" x14ac:dyDescent="0.25">
      <c r="A91" s="601"/>
      <c r="B91" s="709">
        <f>+'eTool Data Analysis'!B94</f>
        <v>19</v>
      </c>
      <c r="C91" s="351">
        <f ca="1">+'eTool Data Engine'!X48</f>
        <v>-364233.2701330203</v>
      </c>
      <c r="D91" s="723"/>
      <c r="E91" s="350">
        <f>+'eTool Data Analysis'!E94</f>
        <v>2382985.5044678799</v>
      </c>
      <c r="F91" s="723"/>
      <c r="G91" s="727">
        <f t="shared" ca="1" si="8"/>
        <v>2018752.2343348595</v>
      </c>
      <c r="H91" s="619"/>
      <c r="I91" s="716" t="str">
        <f t="shared" ca="1" si="9"/>
        <v>OK</v>
      </c>
      <c r="J91" s="714"/>
      <c r="K91" s="601"/>
      <c r="L91" s="601"/>
      <c r="M91" s="601"/>
      <c r="N91" s="601"/>
      <c r="O91" s="601"/>
      <c r="P91" s="601"/>
      <c r="Q91" s="601"/>
      <c r="R91" s="601"/>
      <c r="S91" s="601"/>
      <c r="T91" s="601"/>
      <c r="U91" s="601"/>
      <c r="V91" s="601"/>
    </row>
    <row r="92" spans="1:22" x14ac:dyDescent="0.25">
      <c r="A92" s="601"/>
      <c r="B92" s="709">
        <f>+'eTool Data Analysis'!B95</f>
        <v>20</v>
      </c>
      <c r="C92" s="351">
        <f ca="1">+'eTool Data Engine'!Y48</f>
        <v>-633306.4089169699</v>
      </c>
      <c r="D92" s="723"/>
      <c r="E92" s="350">
        <f>+'eTool Data Analysis'!E95</f>
        <v>2556100.8990401491</v>
      </c>
      <c r="F92" s="723"/>
      <c r="G92" s="727">
        <f t="shared" ca="1" si="8"/>
        <v>1922794.4901231793</v>
      </c>
      <c r="H92" s="619"/>
      <c r="I92" s="716" t="str">
        <f t="shared" ca="1" si="9"/>
        <v>OK</v>
      </c>
      <c r="J92" s="714"/>
      <c r="K92" s="601"/>
      <c r="L92" s="601"/>
      <c r="M92" s="601"/>
      <c r="N92" s="601"/>
      <c r="O92" s="601"/>
      <c r="P92" s="601"/>
      <c r="Q92" s="601"/>
      <c r="R92" s="601"/>
      <c r="S92" s="601"/>
      <c r="T92" s="601"/>
      <c r="U92" s="601"/>
      <c r="V92" s="601"/>
    </row>
    <row r="93" spans="1:22" x14ac:dyDescent="0.25">
      <c r="A93" s="601"/>
      <c r="B93" s="617"/>
      <c r="C93" s="619"/>
      <c r="D93" s="619"/>
      <c r="E93" s="728"/>
      <c r="F93" s="619"/>
      <c r="G93" s="619"/>
      <c r="H93" s="619"/>
      <c r="I93" s="619"/>
      <c r="J93" s="714"/>
      <c r="K93" s="601"/>
      <c r="L93" s="601"/>
      <c r="M93" s="601"/>
      <c r="N93" s="601"/>
      <c r="O93" s="601"/>
      <c r="P93" s="601"/>
      <c r="Q93" s="601"/>
      <c r="R93" s="601"/>
      <c r="S93" s="601"/>
      <c r="T93" s="601"/>
      <c r="U93" s="601"/>
      <c r="V93" s="601"/>
    </row>
    <row r="94" spans="1:22" ht="15" customHeight="1" x14ac:dyDescent="0.25">
      <c r="A94" s="601"/>
      <c r="B94" s="617"/>
      <c r="C94" s="1112" t="s">
        <v>172</v>
      </c>
      <c r="D94" s="1112"/>
      <c r="E94" s="1112"/>
      <c r="F94" s="1112"/>
      <c r="G94" s="1112"/>
      <c r="H94" s="1112"/>
      <c r="I94" s="1112"/>
      <c r="J94" s="714"/>
      <c r="K94" s="601"/>
      <c r="L94" s="601"/>
      <c r="M94" s="601"/>
      <c r="N94" s="601"/>
      <c r="O94" s="601"/>
      <c r="P94" s="601"/>
      <c r="Q94" s="601"/>
      <c r="R94" s="601"/>
      <c r="S94" s="601"/>
      <c r="T94" s="601"/>
      <c r="U94" s="601"/>
      <c r="V94" s="601"/>
    </row>
    <row r="95" spans="1:22" x14ac:dyDescent="0.25">
      <c r="A95" s="601"/>
      <c r="B95" s="834"/>
      <c r="C95" s="1112"/>
      <c r="D95" s="1112"/>
      <c r="E95" s="1112"/>
      <c r="F95" s="1112"/>
      <c r="G95" s="1112"/>
      <c r="H95" s="1112"/>
      <c r="I95" s="1112"/>
      <c r="J95" s="730"/>
      <c r="K95" s="601"/>
      <c r="L95" s="601"/>
      <c r="M95" s="601"/>
      <c r="N95" s="601"/>
      <c r="O95" s="601"/>
      <c r="P95" s="601"/>
      <c r="Q95" s="601"/>
      <c r="R95" s="601"/>
      <c r="S95" s="601"/>
      <c r="T95" s="601"/>
      <c r="U95" s="601"/>
      <c r="V95" s="601"/>
    </row>
    <row r="96" spans="1:22" x14ac:dyDescent="0.25">
      <c r="A96" s="601"/>
      <c r="B96" s="835"/>
      <c r="C96" s="1112"/>
      <c r="D96" s="1112"/>
      <c r="E96" s="1112"/>
      <c r="F96" s="1112"/>
      <c r="G96" s="1112"/>
      <c r="H96" s="1112"/>
      <c r="I96" s="1112"/>
      <c r="J96" s="732"/>
      <c r="K96" s="601"/>
      <c r="L96" s="601"/>
      <c r="M96" s="601"/>
      <c r="N96" s="601"/>
      <c r="O96" s="601"/>
      <c r="P96" s="601"/>
      <c r="Q96" s="601"/>
      <c r="R96" s="601"/>
      <c r="S96" s="601"/>
      <c r="T96" s="601"/>
      <c r="U96" s="601"/>
      <c r="V96" s="601"/>
    </row>
    <row r="97" spans="1:27" x14ac:dyDescent="0.25">
      <c r="A97" s="601"/>
      <c r="B97" s="835"/>
      <c r="C97" s="1112"/>
      <c r="D97" s="1112"/>
      <c r="E97" s="1112"/>
      <c r="F97" s="1112"/>
      <c r="G97" s="1112"/>
      <c r="H97" s="1112"/>
      <c r="I97" s="1112"/>
      <c r="J97" s="732"/>
      <c r="K97" s="601"/>
      <c r="L97" s="601"/>
      <c r="M97" s="601"/>
      <c r="N97" s="601"/>
      <c r="O97" s="601"/>
      <c r="P97" s="601"/>
      <c r="Q97" s="601"/>
      <c r="R97" s="601"/>
      <c r="S97" s="601"/>
      <c r="T97" s="601"/>
      <c r="U97" s="601"/>
      <c r="V97" s="601"/>
      <c r="W97" s="715"/>
      <c r="X97" s="715"/>
      <c r="Y97" s="715"/>
      <c r="Z97" s="715"/>
      <c r="AA97" s="715"/>
    </row>
    <row r="98" spans="1:27" ht="15.75" thickBot="1" x14ac:dyDescent="0.3">
      <c r="A98" s="601"/>
      <c r="B98" s="717"/>
      <c r="C98" s="718"/>
      <c r="D98" s="718"/>
      <c r="E98" s="718"/>
      <c r="F98" s="718"/>
      <c r="G98" s="718"/>
      <c r="H98" s="718"/>
      <c r="I98" s="718"/>
      <c r="J98" s="720"/>
      <c r="K98" s="601"/>
      <c r="L98" s="601"/>
      <c r="M98" s="601"/>
      <c r="N98" s="601"/>
      <c r="O98" s="601"/>
      <c r="P98" s="601"/>
      <c r="Q98" s="601"/>
      <c r="R98" s="601"/>
      <c r="S98" s="601"/>
      <c r="T98" s="601"/>
      <c r="U98" s="601"/>
      <c r="V98" s="601"/>
      <c r="W98" s="715"/>
      <c r="X98" s="715"/>
      <c r="Y98" s="715"/>
      <c r="Z98" s="715"/>
      <c r="AA98" s="715"/>
    </row>
    <row r="99" spans="1:27" ht="16.5" customHeight="1" x14ac:dyDescent="0.25">
      <c r="A99" s="601"/>
      <c r="B99" s="601"/>
      <c r="C99" s="601"/>
      <c r="D99" s="601"/>
      <c r="E99" s="601"/>
      <c r="F99" s="601"/>
      <c r="G99" s="601"/>
      <c r="H99" s="601"/>
      <c r="I99" s="601"/>
      <c r="J99" s="601"/>
      <c r="K99" s="601"/>
      <c r="L99" s="601"/>
      <c r="M99" s="601"/>
      <c r="N99" s="601"/>
      <c r="O99" s="601"/>
      <c r="P99" s="601"/>
      <c r="Q99" s="601"/>
      <c r="R99" s="601"/>
      <c r="S99" s="601"/>
      <c r="T99" s="601"/>
      <c r="U99" s="601"/>
      <c r="V99" s="601"/>
      <c r="W99" s="715"/>
      <c r="X99" s="715"/>
      <c r="Y99" s="715"/>
      <c r="Z99" s="715"/>
      <c r="AA99" s="715"/>
    </row>
    <row r="100" spans="1:27" x14ac:dyDescent="0.25">
      <c r="A100" s="601"/>
      <c r="B100" s="601"/>
      <c r="C100" s="601"/>
      <c r="D100" s="601"/>
      <c r="E100" s="601"/>
      <c r="F100" s="601"/>
      <c r="G100" s="601"/>
      <c r="H100" s="601"/>
      <c r="I100" s="601"/>
      <c r="J100" s="601"/>
      <c r="K100" s="601"/>
      <c r="L100" s="601"/>
      <c r="M100" s="601"/>
      <c r="N100" s="601"/>
      <c r="O100" s="601"/>
      <c r="P100" s="601"/>
      <c r="Q100" s="601"/>
      <c r="R100" s="601"/>
      <c r="S100" s="601"/>
      <c r="T100" s="601"/>
      <c r="U100" s="601"/>
      <c r="V100" s="601"/>
      <c r="W100" s="715"/>
      <c r="X100" s="715"/>
      <c r="Y100" s="715"/>
      <c r="Z100" s="715"/>
      <c r="AA100" s="715"/>
    </row>
    <row r="101" spans="1:27" ht="15" customHeight="1" x14ac:dyDescent="0.25">
      <c r="A101" s="601"/>
      <c r="B101" s="601"/>
      <c r="C101" s="601"/>
      <c r="D101" s="601"/>
      <c r="E101" s="601"/>
      <c r="F101" s="601"/>
      <c r="G101" s="601"/>
      <c r="H101" s="601"/>
      <c r="I101" s="601"/>
      <c r="J101" s="601"/>
      <c r="K101" s="601"/>
      <c r="L101" s="601"/>
      <c r="M101" s="601"/>
      <c r="N101" s="601"/>
      <c r="O101" s="601"/>
      <c r="P101" s="601"/>
      <c r="Q101" s="601"/>
      <c r="R101" s="601"/>
      <c r="S101" s="601"/>
      <c r="T101" s="601"/>
      <c r="U101" s="601"/>
      <c r="V101" s="601"/>
      <c r="W101" s="715"/>
      <c r="X101" s="715"/>
      <c r="Y101" s="715"/>
      <c r="Z101" s="715"/>
      <c r="AA101" s="715"/>
    </row>
    <row r="102" spans="1:27" ht="15.75" thickBot="1" x14ac:dyDescent="0.3">
      <c r="A102" s="601"/>
      <c r="B102" s="601"/>
      <c r="C102" s="601"/>
      <c r="D102" s="601"/>
      <c r="E102" s="601"/>
      <c r="F102" s="601"/>
      <c r="G102" s="601"/>
      <c r="H102" s="601"/>
      <c r="I102" s="601"/>
      <c r="J102" s="601"/>
      <c r="K102" s="601"/>
      <c r="L102" s="601"/>
      <c r="M102" s="601"/>
      <c r="N102" s="601"/>
      <c r="O102" s="601"/>
      <c r="P102" s="601"/>
      <c r="Q102" s="601"/>
      <c r="R102" s="601"/>
      <c r="S102" s="601"/>
      <c r="T102" s="601"/>
      <c r="U102" s="601"/>
      <c r="V102" s="601"/>
      <c r="W102" s="715"/>
      <c r="X102" s="715"/>
      <c r="Y102" s="715"/>
      <c r="Z102" s="715"/>
      <c r="AA102" s="715"/>
    </row>
    <row r="103" spans="1:27" x14ac:dyDescent="0.25">
      <c r="A103" s="601"/>
      <c r="B103" s="606"/>
      <c r="C103" s="694"/>
      <c r="D103" s="694"/>
      <c r="E103" s="694"/>
      <c r="F103" s="694"/>
      <c r="G103" s="694"/>
      <c r="H103" s="694"/>
      <c r="I103" s="694"/>
      <c r="J103" s="694"/>
      <c r="K103" s="694"/>
      <c r="L103" s="694"/>
      <c r="M103" s="694"/>
      <c r="N103" s="694"/>
      <c r="O103" s="694"/>
      <c r="P103" s="721"/>
      <c r="Q103" s="619"/>
      <c r="R103" s="619"/>
      <c r="S103" s="619"/>
      <c r="T103" s="619"/>
      <c r="U103" s="619"/>
      <c r="V103" s="619"/>
      <c r="W103" s="619"/>
      <c r="X103" s="619"/>
      <c r="Y103" s="619"/>
      <c r="Z103" s="715"/>
      <c r="AA103" s="715"/>
    </row>
    <row r="104" spans="1:27" ht="15.95" customHeight="1" x14ac:dyDescent="0.25">
      <c r="A104" s="601"/>
      <c r="B104" s="617"/>
      <c r="C104" s="1050" t="s">
        <v>220</v>
      </c>
      <c r="D104" s="1051"/>
      <c r="E104" s="1051"/>
      <c r="F104" s="1051"/>
      <c r="G104" s="1051"/>
      <c r="H104" s="1051"/>
      <c r="I104" s="1051"/>
      <c r="J104" s="1051"/>
      <c r="K104" s="1051"/>
      <c r="L104" s="1051"/>
      <c r="M104" s="1052"/>
      <c r="N104" s="619"/>
      <c r="O104" s="619"/>
      <c r="P104" s="836"/>
      <c r="Q104" s="619"/>
      <c r="R104" s="619"/>
      <c r="S104" s="619"/>
      <c r="T104" s="619"/>
      <c r="U104" s="619"/>
      <c r="V104" s="619"/>
      <c r="W104" s="619"/>
      <c r="X104" s="619"/>
      <c r="Y104" s="619"/>
      <c r="Z104" s="715"/>
      <c r="AA104" s="715"/>
    </row>
    <row r="105" spans="1:27" x14ac:dyDescent="0.25">
      <c r="A105" s="601"/>
      <c r="B105" s="617"/>
      <c r="C105" s="619"/>
      <c r="D105" s="619"/>
      <c r="E105" s="619"/>
      <c r="F105" s="619"/>
      <c r="G105" s="619"/>
      <c r="H105" s="619"/>
      <c r="I105" s="619"/>
      <c r="J105" s="619"/>
      <c r="K105" s="619"/>
      <c r="L105" s="619"/>
      <c r="M105" s="619"/>
      <c r="N105" s="619"/>
      <c r="O105" s="619"/>
      <c r="P105" s="714"/>
      <c r="Q105" s="619"/>
      <c r="R105" s="619"/>
      <c r="S105" s="619"/>
      <c r="T105" s="619"/>
      <c r="U105" s="619"/>
      <c r="V105" s="619"/>
      <c r="W105" s="619"/>
      <c r="X105" s="619"/>
      <c r="Y105" s="619"/>
      <c r="Z105" s="715"/>
      <c r="AA105" s="715"/>
    </row>
    <row r="106" spans="1:27" ht="26.1" customHeight="1" x14ac:dyDescent="0.25">
      <c r="A106" s="601"/>
      <c r="B106" s="617"/>
      <c r="C106" s="837" t="s">
        <v>174</v>
      </c>
      <c r="D106" s="619"/>
      <c r="E106" s="837" t="s">
        <v>174</v>
      </c>
      <c r="F106" s="619"/>
      <c r="G106" s="837" t="s">
        <v>174</v>
      </c>
      <c r="H106" s="619"/>
      <c r="I106" s="838"/>
      <c r="J106" s="619"/>
      <c r="K106" s="619"/>
      <c r="L106" s="619"/>
      <c r="M106" s="837" t="s">
        <v>221</v>
      </c>
      <c r="N106" s="619"/>
      <c r="O106" s="837" t="s">
        <v>222</v>
      </c>
      <c r="P106" s="714"/>
      <c r="Q106" s="619"/>
      <c r="R106" s="619"/>
      <c r="S106" s="619"/>
      <c r="T106" s="619"/>
      <c r="U106" s="619"/>
      <c r="V106" s="619"/>
      <c r="W106" s="619"/>
      <c r="X106" s="619"/>
      <c r="Y106" s="619"/>
      <c r="Z106" s="715"/>
      <c r="AA106" s="715"/>
    </row>
    <row r="107" spans="1:27" ht="42.95" customHeight="1" x14ac:dyDescent="0.25">
      <c r="A107" s="601"/>
      <c r="B107" s="705" t="str">
        <f>+B50</f>
        <v>Relative Year</v>
      </c>
      <c r="C107" s="706" t="s">
        <v>175</v>
      </c>
      <c r="D107" s="725"/>
      <c r="E107" s="706" t="s">
        <v>176</v>
      </c>
      <c r="F107" s="619"/>
      <c r="G107" s="706" t="s">
        <v>223</v>
      </c>
      <c r="H107" s="839"/>
      <c r="I107" s="840" t="s">
        <v>224</v>
      </c>
      <c r="J107" s="839"/>
      <c r="K107" s="839"/>
      <c r="L107" s="841"/>
      <c r="M107" s="706" t="s">
        <v>225</v>
      </c>
      <c r="N107" s="619"/>
      <c r="O107" s="842" t="s">
        <v>226</v>
      </c>
      <c r="P107" s="714"/>
      <c r="Q107" s="843" t="str">
        <f>+B107</f>
        <v>Relative Year</v>
      </c>
      <c r="R107" s="706" t="s">
        <v>227</v>
      </c>
      <c r="S107" s="688"/>
      <c r="T107" s="706" t="s">
        <v>228</v>
      </c>
      <c r="U107" s="601"/>
      <c r="V107" s="706">
        <f>+$C$128</f>
        <v>1262312</v>
      </c>
      <c r="W107" s="601"/>
      <c r="X107" s="706">
        <f ca="1">+X128</f>
        <v>702065.5910830301</v>
      </c>
      <c r="Y107" s="706">
        <f ca="1">+X107</f>
        <v>702065.5910830301</v>
      </c>
      <c r="Z107" s="715"/>
      <c r="AA107" s="715"/>
    </row>
    <row r="108" spans="1:27" x14ac:dyDescent="0.25">
      <c r="A108" s="601"/>
      <c r="B108" s="709">
        <v>1</v>
      </c>
      <c r="C108" s="710">
        <f>-+'Trial Deposits Engine'!H78</f>
        <v>0</v>
      </c>
      <c r="D108" s="619"/>
      <c r="E108" s="710">
        <f>+'eTool Data Engine'!F18</f>
        <v>50151</v>
      </c>
      <c r="F108" s="619"/>
      <c r="G108" s="710">
        <f>+'eTool Data Engine'!F17</f>
        <v>221800</v>
      </c>
      <c r="H108" s="844"/>
      <c r="I108" s="845">
        <f t="shared" ref="I108:I127" si="10">+C108/$C$35</f>
        <v>0</v>
      </c>
      <c r="J108" s="619"/>
      <c r="K108" s="619"/>
      <c r="L108" s="841"/>
      <c r="M108" s="351">
        <f ca="1">+'eTool Data Engine'!F46</f>
        <v>221800</v>
      </c>
      <c r="N108" s="619"/>
      <c r="O108" s="846">
        <f t="shared" ref="O108:O127" ca="1" si="11">+M108-G108</f>
        <v>0</v>
      </c>
      <c r="P108" s="723"/>
      <c r="Q108" s="843">
        <f>+B108</f>
        <v>1</v>
      </c>
      <c r="R108" s="845">
        <f>+E108/$C$35</f>
        <v>835.85</v>
      </c>
      <c r="S108" s="688"/>
      <c r="T108" s="845">
        <f ca="1">+M108/$C$35</f>
        <v>3696.6666666666665</v>
      </c>
      <c r="U108" s="601"/>
      <c r="V108" s="845">
        <f>+$C$128-C108</f>
        <v>1262312</v>
      </c>
      <c r="W108" s="601"/>
      <c r="X108" s="847">
        <f ca="1">+'Trial Dep. Projections Sumry'!I52</f>
        <v>221800</v>
      </c>
      <c r="Y108" s="847">
        <f ca="1">+Y107-C108</f>
        <v>702065.5910830301</v>
      </c>
      <c r="Z108" s="848"/>
      <c r="AA108" s="848"/>
    </row>
    <row r="109" spans="1:27" x14ac:dyDescent="0.25">
      <c r="A109" s="601"/>
      <c r="B109" s="709">
        <v>2</v>
      </c>
      <c r="C109" s="710">
        <f>-+'Trial Deposits Engine'!I78</f>
        <v>13982</v>
      </c>
      <c r="D109" s="619"/>
      <c r="E109" s="710">
        <f>+'eTool Data Engine'!G18</f>
        <v>51154</v>
      </c>
      <c r="F109" s="619"/>
      <c r="G109" s="710">
        <f>+'eTool Data Engine'!G17</f>
        <v>230232</v>
      </c>
      <c r="H109" s="844"/>
      <c r="I109" s="845">
        <f t="shared" si="10"/>
        <v>233.03333333333333</v>
      </c>
      <c r="J109" s="619"/>
      <c r="K109" s="619"/>
      <c r="L109" s="841"/>
      <c r="M109" s="351">
        <f ca="1">+'eTool Data Engine'!G46</f>
        <v>230232</v>
      </c>
      <c r="N109" s="619"/>
      <c r="O109" s="846">
        <f t="shared" ca="1" si="11"/>
        <v>0</v>
      </c>
      <c r="P109" s="849"/>
      <c r="Q109" s="843">
        <f t="shared" ref="Q109:Q128" si="12">+B109</f>
        <v>2</v>
      </c>
      <c r="R109" s="845">
        <f t="shared" ref="R109:R127" si="13">+E109/$C$35</f>
        <v>852.56666666666672</v>
      </c>
      <c r="S109" s="688"/>
      <c r="T109" s="845">
        <f t="shared" ref="T109:T127" ca="1" si="14">+M109/$C$35</f>
        <v>3837.2</v>
      </c>
      <c r="U109" s="601"/>
      <c r="V109" s="845">
        <f>+V108-C109</f>
        <v>1248330</v>
      </c>
      <c r="W109" s="601"/>
      <c r="X109" s="847">
        <f ca="1">+'Trial Dep. Projections Sumry'!J52</f>
        <v>22414</v>
      </c>
      <c r="Y109" s="847">
        <f t="shared" ref="Y109:Y128" ca="1" si="15">+Y108-C109</f>
        <v>688083.5910830301</v>
      </c>
      <c r="Z109" s="715"/>
      <c r="AA109" s="715"/>
    </row>
    <row r="110" spans="1:27" x14ac:dyDescent="0.25">
      <c r="A110" s="601"/>
      <c r="B110" s="709">
        <v>3</v>
      </c>
      <c r="C110" s="710">
        <f>-+'Trial Deposits Engine'!J78</f>
        <v>76898</v>
      </c>
      <c r="D110" s="619"/>
      <c r="E110" s="710">
        <f>+'eTool Data Engine'!H18</f>
        <v>52177</v>
      </c>
      <c r="F110" s="619"/>
      <c r="G110" s="710">
        <f>+'eTool Data Engine'!H17</f>
        <v>177388</v>
      </c>
      <c r="H110" s="844"/>
      <c r="I110" s="845">
        <f t="shared" si="10"/>
        <v>1281.6333333333334</v>
      </c>
      <c r="J110" s="619"/>
      <c r="K110" s="619"/>
      <c r="L110" s="841"/>
      <c r="M110" s="351">
        <f ca="1">+'eTool Data Engine'!H46</f>
        <v>177387.4</v>
      </c>
      <c r="N110" s="619"/>
      <c r="O110" s="846">
        <f t="shared" ca="1" si="11"/>
        <v>-0.60000000000582077</v>
      </c>
      <c r="P110" s="849"/>
      <c r="Q110" s="843">
        <f t="shared" si="12"/>
        <v>3</v>
      </c>
      <c r="R110" s="845">
        <f t="shared" si="13"/>
        <v>869.61666666666667</v>
      </c>
      <c r="S110" s="688"/>
      <c r="T110" s="845">
        <f t="shared" ca="1" si="14"/>
        <v>2956.4566666666665</v>
      </c>
      <c r="U110" s="601"/>
      <c r="V110" s="845">
        <f t="shared" ref="V110:V127" si="16">+V109-C110</f>
        <v>1171432</v>
      </c>
      <c r="W110" s="601"/>
      <c r="X110" s="847">
        <f ca="1">+'Trial Dep. Projections Sumry'!K52</f>
        <v>24053.399999999998</v>
      </c>
      <c r="Y110" s="847">
        <f t="shared" ca="1" si="15"/>
        <v>611185.5910830301</v>
      </c>
      <c r="Z110" s="715"/>
      <c r="AA110" s="715"/>
    </row>
    <row r="111" spans="1:27" x14ac:dyDescent="0.25">
      <c r="A111" s="601"/>
      <c r="B111" s="709">
        <v>4</v>
      </c>
      <c r="C111" s="710">
        <f>-+'Trial Deposits Engine'!K78</f>
        <v>48842</v>
      </c>
      <c r="D111" s="619"/>
      <c r="E111" s="710">
        <f>+'eTool Data Engine'!I18</f>
        <v>53220</v>
      </c>
      <c r="F111" s="619"/>
      <c r="G111" s="710">
        <f>+'eTool Data Engine'!I17</f>
        <v>152219</v>
      </c>
      <c r="H111" s="844"/>
      <c r="I111" s="845">
        <f t="shared" si="10"/>
        <v>814.0333333333333</v>
      </c>
      <c r="J111" s="619"/>
      <c r="K111" s="619"/>
      <c r="L111" s="841"/>
      <c r="M111" s="351">
        <f ca="1">+'eTool Data Engine'!I46</f>
        <v>152218.12939999998</v>
      </c>
      <c r="N111" s="619"/>
      <c r="O111" s="846">
        <f t="shared" ca="1" si="11"/>
        <v>-0.87060000002384186</v>
      </c>
      <c r="P111" s="849"/>
      <c r="Q111" s="843">
        <f t="shared" si="12"/>
        <v>4</v>
      </c>
      <c r="R111" s="845">
        <f t="shared" si="13"/>
        <v>887</v>
      </c>
      <c r="S111" s="688"/>
      <c r="T111" s="845">
        <f t="shared" ca="1" si="14"/>
        <v>2536.9688233333331</v>
      </c>
      <c r="U111" s="601"/>
      <c r="V111" s="845">
        <f t="shared" si="16"/>
        <v>1122590</v>
      </c>
      <c r="W111" s="601"/>
      <c r="X111" s="847">
        <f ca="1">+'Trial Dep. Projections Sumry'!L52</f>
        <v>23672.729399999997</v>
      </c>
      <c r="Y111" s="847">
        <f t="shared" ca="1" si="15"/>
        <v>562343.5910830301</v>
      </c>
      <c r="Z111" s="715"/>
      <c r="AA111" s="715"/>
    </row>
    <row r="112" spans="1:27" x14ac:dyDescent="0.25">
      <c r="A112" s="601"/>
      <c r="B112" s="709">
        <v>5</v>
      </c>
      <c r="C112" s="710">
        <f>-+'Trial Deposits Engine'!L78</f>
        <v>51561</v>
      </c>
      <c r="D112" s="619"/>
      <c r="E112" s="710">
        <f>+'eTool Data Engine'!J18</f>
        <v>54285</v>
      </c>
      <c r="F112" s="619"/>
      <c r="G112" s="710">
        <f>+'eTool Data Engine'!J17</f>
        <v>124373</v>
      </c>
      <c r="H112" s="844"/>
      <c r="I112" s="845">
        <f t="shared" si="10"/>
        <v>859.35</v>
      </c>
      <c r="J112" s="619"/>
      <c r="K112" s="619"/>
      <c r="L112" s="841"/>
      <c r="M112" s="351">
        <f ca="1">+'eTool Data Engine'!J46</f>
        <v>124372.55810899998</v>
      </c>
      <c r="N112" s="619"/>
      <c r="O112" s="846">
        <f t="shared" ca="1" si="11"/>
        <v>-0.44189100002404302</v>
      </c>
      <c r="P112" s="849"/>
      <c r="Q112" s="843">
        <f t="shared" si="12"/>
        <v>5</v>
      </c>
      <c r="R112" s="845">
        <f t="shared" si="13"/>
        <v>904.75</v>
      </c>
      <c r="S112" s="688"/>
      <c r="T112" s="845">
        <f t="shared" ca="1" si="14"/>
        <v>2072.8759684833331</v>
      </c>
      <c r="U112" s="601"/>
      <c r="V112" s="845">
        <f t="shared" si="16"/>
        <v>1071029</v>
      </c>
      <c r="W112" s="601"/>
      <c r="X112" s="847">
        <f ca="1">+'Trial Dep. Projections Sumry'!M52</f>
        <v>23715.428709</v>
      </c>
      <c r="Y112" s="847">
        <f t="shared" ca="1" si="15"/>
        <v>510782.5910830301</v>
      </c>
      <c r="Z112" s="715"/>
      <c r="AA112" s="715"/>
    </row>
    <row r="113" spans="1:25" x14ac:dyDescent="0.25">
      <c r="A113" s="601"/>
      <c r="B113" s="709">
        <v>6</v>
      </c>
      <c r="C113" s="710">
        <f>-+'Trial Deposits Engine'!M78</f>
        <v>48842</v>
      </c>
      <c r="D113" s="619"/>
      <c r="E113" s="710">
        <f>+'eTool Data Engine'!K18</f>
        <v>55370</v>
      </c>
      <c r="F113" s="619"/>
      <c r="G113" s="710">
        <f>+'eTool Data Engine'!K17</f>
        <v>99258</v>
      </c>
      <c r="H113" s="844"/>
      <c r="I113" s="845">
        <f t="shared" si="10"/>
        <v>814.0333333333333</v>
      </c>
      <c r="J113" s="619"/>
      <c r="K113" s="619"/>
      <c r="L113" s="841"/>
      <c r="M113" s="351">
        <f ca="1">+'eTool Data Engine'!K46</f>
        <v>99256.946383994975</v>
      </c>
      <c r="N113" s="619"/>
      <c r="O113" s="846">
        <f t="shared" ca="1" si="11"/>
        <v>-1.0536160050251056</v>
      </c>
      <c r="P113" s="849"/>
      <c r="Q113" s="843">
        <f t="shared" si="12"/>
        <v>6</v>
      </c>
      <c r="R113" s="845">
        <f t="shared" si="13"/>
        <v>922.83333333333337</v>
      </c>
      <c r="S113" s="688"/>
      <c r="T113" s="845">
        <f t="shared" ca="1" si="14"/>
        <v>1654.2824397332495</v>
      </c>
      <c r="U113" s="601"/>
      <c r="V113" s="845">
        <f t="shared" si="16"/>
        <v>1022187</v>
      </c>
      <c r="W113" s="601"/>
      <c r="X113" s="847">
        <f ca="1">+'Trial Dep. Projections Sumry'!N52</f>
        <v>23726.388274994999</v>
      </c>
      <c r="Y113" s="847">
        <f t="shared" ca="1" si="15"/>
        <v>461940.5910830301</v>
      </c>
    </row>
    <row r="114" spans="1:25" x14ac:dyDescent="0.25">
      <c r="A114" s="601"/>
      <c r="B114" s="709">
        <v>7</v>
      </c>
      <c r="C114" s="710">
        <f>+-'Trial Deposits Engine'!N78</f>
        <v>20366</v>
      </c>
      <c r="D114" s="619"/>
      <c r="E114" s="710">
        <f>+'eTool Data Engine'!L18</f>
        <v>56478</v>
      </c>
      <c r="F114" s="619"/>
      <c r="G114" s="710">
        <f>+'eTool Data Engine'!L17</f>
        <v>102679</v>
      </c>
      <c r="H114" s="844"/>
      <c r="I114" s="845">
        <f t="shared" si="10"/>
        <v>339.43333333333334</v>
      </c>
      <c r="J114" s="619"/>
      <c r="K114" s="619"/>
      <c r="L114" s="841"/>
      <c r="M114" s="351">
        <f ca="1">+'eTool Data Engine'!L46</f>
        <v>102677.81648118209</v>
      </c>
      <c r="N114" s="619"/>
      <c r="O114" s="846">
        <f t="shared" ca="1" si="11"/>
        <v>-1.1835188179102261</v>
      </c>
      <c r="P114" s="849"/>
      <c r="Q114" s="843">
        <f t="shared" si="12"/>
        <v>7</v>
      </c>
      <c r="R114" s="845">
        <f t="shared" si="13"/>
        <v>941.3</v>
      </c>
      <c r="S114" s="688"/>
      <c r="T114" s="845">
        <f t="shared" ca="1" si="14"/>
        <v>1711.2969413530348</v>
      </c>
      <c r="U114" s="601"/>
      <c r="V114" s="845">
        <f t="shared" si="16"/>
        <v>1001821</v>
      </c>
      <c r="W114" s="601"/>
      <c r="X114" s="847">
        <f ca="1">+'Trial Dep. Projections Sumry'!O52</f>
        <v>23786.870097187122</v>
      </c>
      <c r="Y114" s="847">
        <f t="shared" ca="1" si="15"/>
        <v>441574.5910830301</v>
      </c>
    </row>
    <row r="115" spans="1:25" x14ac:dyDescent="0.25">
      <c r="A115" s="601"/>
      <c r="B115" s="709">
        <v>8</v>
      </c>
      <c r="C115" s="710">
        <f>-+'Trial Deposits Engine'!O78</f>
        <v>44227</v>
      </c>
      <c r="D115" s="619"/>
      <c r="E115" s="710">
        <f>+'eTool Data Engine'!M18</f>
        <v>57607</v>
      </c>
      <c r="F115" s="619"/>
      <c r="G115" s="710">
        <f>+'eTool Data Engine'!M17</f>
        <v>82736</v>
      </c>
      <c r="H115" s="844"/>
      <c r="I115" s="845">
        <f t="shared" si="10"/>
        <v>737.11666666666667</v>
      </c>
      <c r="J115" s="619"/>
      <c r="K115" s="619"/>
      <c r="L115" s="841"/>
      <c r="M115" s="351">
        <f ca="1">+'eTool Data Engine'!M46</f>
        <v>82734.959947855561</v>
      </c>
      <c r="N115" s="619"/>
      <c r="O115" s="846">
        <f t="shared" ca="1" si="11"/>
        <v>-1.0400521444389597</v>
      </c>
      <c r="P115" s="849"/>
      <c r="Q115" s="843">
        <f t="shared" si="12"/>
        <v>8</v>
      </c>
      <c r="R115" s="845">
        <f t="shared" si="13"/>
        <v>960.11666666666667</v>
      </c>
      <c r="S115" s="688"/>
      <c r="T115" s="845">
        <f t="shared" ca="1" si="14"/>
        <v>1378.9159991309259</v>
      </c>
      <c r="U115" s="601"/>
      <c r="V115" s="845">
        <f t="shared" si="16"/>
        <v>957594</v>
      </c>
      <c r="W115" s="601"/>
      <c r="X115" s="847">
        <f ca="1">+'Trial Dep. Projections Sumry'!P52</f>
        <v>24284.143466673475</v>
      </c>
      <c r="Y115" s="847">
        <f t="shared" ca="1" si="15"/>
        <v>397347.5910830301</v>
      </c>
    </row>
    <row r="116" spans="1:25" x14ac:dyDescent="0.25">
      <c r="A116" s="601"/>
      <c r="B116" s="709">
        <v>9</v>
      </c>
      <c r="C116" s="710">
        <f>-+'Trial Deposits Engine'!P78</f>
        <v>30245</v>
      </c>
      <c r="D116" s="619"/>
      <c r="E116" s="710">
        <f>+'eTool Data Engine'!N18</f>
        <v>58760</v>
      </c>
      <c r="F116" s="619"/>
      <c r="G116" s="710">
        <f>+'eTool Data Engine'!N17</f>
        <v>76930</v>
      </c>
      <c r="H116" s="844"/>
      <c r="I116" s="845">
        <f t="shared" si="10"/>
        <v>504.08333333333331</v>
      </c>
      <c r="J116" s="619"/>
      <c r="K116" s="619"/>
      <c r="L116" s="841"/>
      <c r="M116" s="351">
        <f ca="1">+'eTool Data Engine'!N46</f>
        <v>76929.840090918253</v>
      </c>
      <c r="N116" s="619"/>
      <c r="O116" s="846">
        <f t="shared" ca="1" si="11"/>
        <v>-0.15990908174717333</v>
      </c>
      <c r="P116" s="849"/>
      <c r="Q116" s="843">
        <f t="shared" si="12"/>
        <v>9</v>
      </c>
      <c r="R116" s="845">
        <f t="shared" si="13"/>
        <v>979.33333333333337</v>
      </c>
      <c r="S116" s="688"/>
      <c r="T116" s="845">
        <f t="shared" ca="1" si="14"/>
        <v>1282.1640015153041</v>
      </c>
      <c r="U116" s="601"/>
      <c r="V116" s="845">
        <f t="shared" si="16"/>
        <v>927349</v>
      </c>
      <c r="W116" s="601"/>
      <c r="X116" s="847">
        <f ca="1">+'Trial Dep. Projections Sumry'!Q52</f>
        <v>24439.880143062695</v>
      </c>
      <c r="Y116" s="847">
        <f t="shared" ca="1" si="15"/>
        <v>367102.5910830301</v>
      </c>
    </row>
    <row r="117" spans="1:25" x14ac:dyDescent="0.25">
      <c r="A117" s="601"/>
      <c r="B117" s="709">
        <v>10</v>
      </c>
      <c r="C117" s="710">
        <f>-+'Trial Deposits Engine'!Q78</f>
        <v>30245</v>
      </c>
      <c r="D117" s="619"/>
      <c r="E117" s="710">
        <f>+'eTool Data Engine'!O18</f>
        <v>59935</v>
      </c>
      <c r="F117" s="619"/>
      <c r="G117" s="710">
        <f>+'eTool Data Engine'!O17</f>
        <v>71502</v>
      </c>
      <c r="H117" s="844"/>
      <c r="I117" s="845">
        <f t="shared" si="10"/>
        <v>504.08333333333331</v>
      </c>
      <c r="J117" s="619"/>
      <c r="K117" s="619"/>
      <c r="L117" s="841"/>
      <c r="M117" s="351">
        <f ca="1">+'eTool Data Engine'!O46</f>
        <v>71501.620551003783</v>
      </c>
      <c r="N117" s="619"/>
      <c r="O117" s="846">
        <f t="shared" ca="1" si="11"/>
        <v>-0.37944899621652439</v>
      </c>
      <c r="P117" s="849"/>
      <c r="Q117" s="843">
        <f t="shared" si="12"/>
        <v>10</v>
      </c>
      <c r="R117" s="845">
        <f t="shared" si="13"/>
        <v>998.91666666666663</v>
      </c>
      <c r="S117" s="688"/>
      <c r="T117" s="845">
        <f t="shared" ca="1" si="14"/>
        <v>1191.6936758500631</v>
      </c>
      <c r="U117" s="601"/>
      <c r="V117" s="845">
        <f t="shared" si="16"/>
        <v>897104</v>
      </c>
      <c r="W117" s="601"/>
      <c r="X117" s="847">
        <f ca="1">+'Trial Dep. Projections Sumry'!R52</f>
        <v>24816.780460085531</v>
      </c>
      <c r="Y117" s="847">
        <f t="shared" ca="1" si="15"/>
        <v>336857.5910830301</v>
      </c>
    </row>
    <row r="118" spans="1:25" ht="15" customHeight="1" x14ac:dyDescent="0.25">
      <c r="A118" s="601"/>
      <c r="B118" s="709">
        <v>11</v>
      </c>
      <c r="C118" s="710">
        <f>-+'Trial Deposits Engine'!R78</f>
        <v>133693</v>
      </c>
      <c r="D118" s="619"/>
      <c r="E118" s="710">
        <f>+'eTool Data Engine'!P18</f>
        <v>61133</v>
      </c>
      <c r="F118" s="619"/>
      <c r="G118" s="710">
        <f>+'eTool Data Engine'!P17</f>
        <v>-36983</v>
      </c>
      <c r="H118" s="844"/>
      <c r="I118" s="845">
        <f t="shared" si="10"/>
        <v>2228.2166666666667</v>
      </c>
      <c r="J118" s="619"/>
      <c r="K118" s="619"/>
      <c r="L118" s="841"/>
      <c r="M118" s="351">
        <f ca="1">+'eTool Data Engine'!P46</f>
        <v>-36982.765624834967</v>
      </c>
      <c r="N118" s="619"/>
      <c r="O118" s="846">
        <f t="shared" ca="1" si="11"/>
        <v>0.2343751650332706</v>
      </c>
      <c r="P118" s="849"/>
      <c r="Q118" s="843">
        <f t="shared" si="12"/>
        <v>11</v>
      </c>
      <c r="R118" s="845">
        <f t="shared" si="13"/>
        <v>1018.8833333333333</v>
      </c>
      <c r="S118" s="688"/>
      <c r="T118" s="845">
        <f t="shared" ca="1" si="14"/>
        <v>-616.37942708058279</v>
      </c>
      <c r="U118" s="601"/>
      <c r="V118" s="845">
        <f t="shared" si="16"/>
        <v>763411</v>
      </c>
      <c r="W118" s="601"/>
      <c r="X118" s="847">
        <f ca="1">+'Trial Dep. Projections Sumry'!S52</f>
        <v>25208.61382416125</v>
      </c>
      <c r="Y118" s="847">
        <f t="shared" ca="1" si="15"/>
        <v>203164.5910830301</v>
      </c>
    </row>
    <row r="119" spans="1:25" x14ac:dyDescent="0.25">
      <c r="A119" s="601"/>
      <c r="B119" s="709">
        <v>12</v>
      </c>
      <c r="C119" s="710">
        <f>-+'Trial Deposits Engine'!S78</f>
        <v>128676</v>
      </c>
      <c r="D119" s="619"/>
      <c r="E119" s="710">
        <f>+'eTool Data Engine'!Q18</f>
        <v>62356</v>
      </c>
      <c r="F119" s="619"/>
      <c r="G119" s="710">
        <f>+'eTool Data Engine'!Q17</f>
        <v>-141040</v>
      </c>
      <c r="H119" s="844"/>
      <c r="I119" s="845">
        <f t="shared" si="10"/>
        <v>2144.6</v>
      </c>
      <c r="J119" s="619"/>
      <c r="K119" s="619"/>
      <c r="L119" s="841"/>
      <c r="M119" s="351">
        <f ca="1">+'eTool Data Engine'!Q46</f>
        <v>-141039.95431862085</v>
      </c>
      <c r="N119" s="619"/>
      <c r="O119" s="846">
        <f t="shared" ca="1" si="11"/>
        <v>4.5681379153393209E-2</v>
      </c>
      <c r="P119" s="849"/>
      <c r="Q119" s="843">
        <f t="shared" si="12"/>
        <v>12</v>
      </c>
      <c r="R119" s="845">
        <f t="shared" si="13"/>
        <v>1039.2666666666667</v>
      </c>
      <c r="S119" s="688"/>
      <c r="T119" s="845">
        <f t="shared" ca="1" si="14"/>
        <v>-2350.6659053103476</v>
      </c>
      <c r="U119" s="601"/>
      <c r="V119" s="845">
        <f t="shared" si="16"/>
        <v>634735</v>
      </c>
      <c r="W119" s="601"/>
      <c r="X119" s="847">
        <f ca="1">+'Trial Dep. Projections Sumry'!T52</f>
        <v>24618.81130621412</v>
      </c>
      <c r="Y119" s="847">
        <f t="shared" ca="1" si="15"/>
        <v>74488.5910830301</v>
      </c>
    </row>
    <row r="120" spans="1:25" x14ac:dyDescent="0.25">
      <c r="A120" s="601"/>
      <c r="B120" s="709">
        <v>13</v>
      </c>
      <c r="C120" s="710">
        <f>-+'Trial Deposits Engine'!T78</f>
        <v>55907</v>
      </c>
      <c r="D120" s="619"/>
      <c r="E120" s="710">
        <f>+'eTool Data Engine'!R18</f>
        <v>63603</v>
      </c>
      <c r="F120" s="619"/>
      <c r="G120" s="710">
        <f>+'eTool Data Engine'!R17</f>
        <v>-171836</v>
      </c>
      <c r="H120" s="844"/>
      <c r="I120" s="845">
        <f t="shared" si="10"/>
        <v>931.7833333333333</v>
      </c>
      <c r="J120" s="619"/>
      <c r="K120" s="619"/>
      <c r="L120" s="841"/>
      <c r="M120" s="351">
        <f ca="1">+'eTool Data Engine'!R46</f>
        <v>-171835.76678628245</v>
      </c>
      <c r="N120" s="619"/>
      <c r="O120" s="846">
        <f t="shared" ca="1" si="11"/>
        <v>0.23321371755446307</v>
      </c>
      <c r="P120" s="849"/>
      <c r="Q120" s="843">
        <f t="shared" si="12"/>
        <v>13</v>
      </c>
      <c r="R120" s="845">
        <f t="shared" si="13"/>
        <v>1060.05</v>
      </c>
      <c r="S120" s="688"/>
      <c r="T120" s="845">
        <f t="shared" ca="1" si="14"/>
        <v>-2863.9294464380409</v>
      </c>
      <c r="U120" s="601"/>
      <c r="V120" s="845">
        <f t="shared" si="16"/>
        <v>578828</v>
      </c>
      <c r="W120" s="601"/>
      <c r="X120" s="847">
        <f ca="1">+'Trial Dep. Projections Sumry'!U52</f>
        <v>25111.187532338401</v>
      </c>
      <c r="Y120" s="847">
        <f t="shared" ca="1" si="15"/>
        <v>18581.5910830301</v>
      </c>
    </row>
    <row r="121" spans="1:25" x14ac:dyDescent="0.25">
      <c r="A121" s="601"/>
      <c r="B121" s="709">
        <v>14</v>
      </c>
      <c r="C121" s="710">
        <f>-+'Trial Deposits Engine'!U78</f>
        <v>69762</v>
      </c>
      <c r="D121" s="619"/>
      <c r="E121" s="710">
        <f>+'eTool Data Engine'!S18</f>
        <v>64875</v>
      </c>
      <c r="F121" s="619"/>
      <c r="G121" s="710">
        <f>+'eTool Data Engine'!S17</f>
        <v>-215985</v>
      </c>
      <c r="H121" s="844"/>
      <c r="I121" s="845">
        <f t="shared" si="10"/>
        <v>1162.7</v>
      </c>
      <c r="J121" s="619"/>
      <c r="K121" s="619"/>
      <c r="L121" s="619"/>
      <c r="M121" s="351">
        <f ca="1">+'eTool Data Engine'!S46</f>
        <v>-215984.35550329729</v>
      </c>
      <c r="N121" s="619"/>
      <c r="O121" s="846">
        <f t="shared" ca="1" si="11"/>
        <v>0.64449670270550996</v>
      </c>
      <c r="P121" s="849"/>
      <c r="Q121" s="843">
        <f t="shared" si="12"/>
        <v>14</v>
      </c>
      <c r="R121" s="845">
        <f t="shared" si="13"/>
        <v>1081.25</v>
      </c>
      <c r="S121" s="688"/>
      <c r="T121" s="845">
        <f t="shared" ca="1" si="14"/>
        <v>-3599.7392583882884</v>
      </c>
      <c r="U121" s="601"/>
      <c r="V121" s="845">
        <f t="shared" si="16"/>
        <v>509066</v>
      </c>
      <c r="W121" s="601"/>
      <c r="X121" s="847">
        <f ca="1">+'Trial Dep. Projections Sumry'!V52</f>
        <v>25613.411282985166</v>
      </c>
      <c r="Y121" s="847">
        <f t="shared" ca="1" si="15"/>
        <v>-51180.4089169699</v>
      </c>
    </row>
    <row r="122" spans="1:25" x14ac:dyDescent="0.25">
      <c r="A122" s="601"/>
      <c r="B122" s="709">
        <v>15</v>
      </c>
      <c r="C122" s="710">
        <f>-+'Trial Deposits Engine'!V78</f>
        <v>118030</v>
      </c>
      <c r="D122" s="619"/>
      <c r="E122" s="710">
        <f>+'eTool Data Engine'!T18</f>
        <v>66173</v>
      </c>
      <c r="F122" s="619"/>
      <c r="G122" s="710">
        <f>+'eTool Data Engine'!T17</f>
        <v>-307889</v>
      </c>
      <c r="H122" s="844"/>
      <c r="I122" s="845">
        <f t="shared" si="10"/>
        <v>1967.1666666666667</v>
      </c>
      <c r="J122" s="619"/>
      <c r="K122" s="619"/>
      <c r="L122" s="619"/>
      <c r="M122" s="351">
        <f ca="1">+'eTool Data Engine'!T46</f>
        <v>-307888.67599465244</v>
      </c>
      <c r="N122" s="619"/>
      <c r="O122" s="846">
        <f t="shared" ca="1" si="11"/>
        <v>0.32400534756015986</v>
      </c>
      <c r="P122" s="849">
        <v>316374</v>
      </c>
      <c r="Q122" s="843">
        <f t="shared" si="12"/>
        <v>15</v>
      </c>
      <c r="R122" s="845">
        <f t="shared" si="13"/>
        <v>1102.8833333333334</v>
      </c>
      <c r="S122" s="688"/>
      <c r="T122" s="845">
        <f t="shared" ca="1" si="14"/>
        <v>-5131.4779332442076</v>
      </c>
      <c r="U122" s="601"/>
      <c r="V122" s="845">
        <f t="shared" si="16"/>
        <v>391036</v>
      </c>
      <c r="W122" s="601"/>
      <c r="X122" s="847">
        <f ca="1">+'Trial Dep. Projections Sumry'!W52</f>
        <v>26125.679508644873</v>
      </c>
      <c r="Y122" s="847">
        <f t="shared" ca="1" si="15"/>
        <v>-169210.4089169699</v>
      </c>
    </row>
    <row r="123" spans="1:25" x14ac:dyDescent="0.25">
      <c r="A123" s="601"/>
      <c r="B123" s="709">
        <v>16</v>
      </c>
      <c r="C123" s="710">
        <f>-+'Trial Deposits Engine'!W78</f>
        <v>13855</v>
      </c>
      <c r="D123" s="619"/>
      <c r="E123" s="710">
        <f>+'eTool Data Engine'!U18</f>
        <v>67496</v>
      </c>
      <c r="F123" s="619"/>
      <c r="G123" s="710">
        <f>+'eTool Data Engine'!U17</f>
        <v>-295095</v>
      </c>
      <c r="H123" s="844"/>
      <c r="I123" s="845">
        <f t="shared" si="10"/>
        <v>230.91666666666666</v>
      </c>
      <c r="J123" s="619"/>
      <c r="K123" s="619"/>
      <c r="L123" s="619"/>
      <c r="M123" s="351">
        <f ca="1">+'eTool Data Engine'!U46</f>
        <v>-295095.48289583466</v>
      </c>
      <c r="N123" s="619"/>
      <c r="O123" s="846">
        <f t="shared" ca="1" si="11"/>
        <v>-0.48289583466248587</v>
      </c>
      <c r="P123" s="849">
        <v>174266</v>
      </c>
      <c r="Q123" s="843">
        <f t="shared" si="12"/>
        <v>16</v>
      </c>
      <c r="R123" s="845">
        <f t="shared" si="13"/>
        <v>1124.9333333333334</v>
      </c>
      <c r="S123" s="688"/>
      <c r="T123" s="845">
        <f t="shared" ca="1" si="14"/>
        <v>-4918.2580482639114</v>
      </c>
      <c r="U123" s="601"/>
      <c r="V123" s="845">
        <f t="shared" si="16"/>
        <v>377181</v>
      </c>
      <c r="W123" s="601"/>
      <c r="X123" s="847">
        <f ca="1">+'Trial Dep. Projections Sumry'!X52</f>
        <v>26648.19309881777</v>
      </c>
      <c r="Y123" s="847">
        <f t="shared" ca="1" si="15"/>
        <v>-183065.4089169699</v>
      </c>
    </row>
    <row r="124" spans="1:25" x14ac:dyDescent="0.25">
      <c r="A124" s="601"/>
      <c r="B124" s="709">
        <v>17</v>
      </c>
      <c r="C124" s="710">
        <f>-+'Trial Deposits Engine'!X78</f>
        <v>0</v>
      </c>
      <c r="D124" s="619"/>
      <c r="E124" s="710">
        <f>+'eTool Data Engine'!V18</f>
        <v>68846</v>
      </c>
      <c r="F124" s="619"/>
      <c r="G124" s="710">
        <f>+'eTool Data Engine'!V17</f>
        <v>-267914</v>
      </c>
      <c r="H124" s="844"/>
      <c r="I124" s="845">
        <f t="shared" si="10"/>
        <v>0</v>
      </c>
      <c r="J124" s="619"/>
      <c r="K124" s="619"/>
      <c r="L124" s="841"/>
      <c r="M124" s="351">
        <f ca="1">+'eTool Data Engine'!V46</f>
        <v>-267914.32593504054</v>
      </c>
      <c r="N124" s="619"/>
      <c r="O124" s="846">
        <f t="shared" ca="1" si="11"/>
        <v>-0.3259350405423902</v>
      </c>
      <c r="P124" s="849">
        <f>+P122+P123</f>
        <v>490640</v>
      </c>
      <c r="Q124" s="843">
        <f t="shared" si="12"/>
        <v>17</v>
      </c>
      <c r="R124" s="845">
        <f t="shared" si="13"/>
        <v>1147.4333333333334</v>
      </c>
      <c r="S124" s="688"/>
      <c r="T124" s="845">
        <f t="shared" ca="1" si="14"/>
        <v>-4465.2387655840093</v>
      </c>
      <c r="U124" s="601"/>
      <c r="V124" s="845">
        <f t="shared" si="16"/>
        <v>377181</v>
      </c>
      <c r="W124" s="601"/>
      <c r="X124" s="847">
        <f ca="1">+'Trial Dep. Projections Sumry'!Y52</f>
        <v>27181.156960794127</v>
      </c>
      <c r="Y124" s="847">
        <f t="shared" ca="1" si="15"/>
        <v>-183065.4089169699</v>
      </c>
    </row>
    <row r="125" spans="1:25" x14ac:dyDescent="0.25">
      <c r="A125" s="601"/>
      <c r="B125" s="709">
        <v>18</v>
      </c>
      <c r="C125" s="710">
        <f>-+'Trial Deposits Engine'!Y78</f>
        <v>43826</v>
      </c>
      <c r="D125" s="619"/>
      <c r="E125" s="710">
        <f>+'eTool Data Engine'!W18</f>
        <v>70223</v>
      </c>
      <c r="F125" s="619"/>
      <c r="G125" s="710">
        <f>+'eTool Data Engine'!W17</f>
        <v>-284016</v>
      </c>
      <c r="H125" s="844"/>
      <c r="I125" s="845">
        <f t="shared" si="10"/>
        <v>730.43333333333328</v>
      </c>
      <c r="J125" s="619"/>
      <c r="K125" s="619"/>
      <c r="L125" s="841"/>
      <c r="M125" s="351">
        <f ca="1">+'eTool Data Engine'!W46</f>
        <v>-284015.5458350305</v>
      </c>
      <c r="N125" s="619"/>
      <c r="O125" s="846">
        <f t="shared" ca="1" si="11"/>
        <v>0.4541649695020169</v>
      </c>
      <c r="P125" s="849">
        <f>+P124/60/5</f>
        <v>1635.4666666666667</v>
      </c>
      <c r="Q125" s="843">
        <f t="shared" si="12"/>
        <v>18</v>
      </c>
      <c r="R125" s="845">
        <f t="shared" si="13"/>
        <v>1170.3833333333334</v>
      </c>
      <c r="S125" s="688"/>
      <c r="T125" s="845">
        <f t="shared" ca="1" si="14"/>
        <v>-4733.5924305838416</v>
      </c>
      <c r="U125" s="601"/>
      <c r="V125" s="845">
        <f t="shared" si="16"/>
        <v>333355</v>
      </c>
      <c r="W125" s="601"/>
      <c r="X125" s="847">
        <f ca="1">+'Trial Dep. Projections Sumry'!Z52</f>
        <v>27724.780100010012</v>
      </c>
      <c r="Y125" s="847">
        <f t="shared" ca="1" si="15"/>
        <v>-226891.4089169699</v>
      </c>
    </row>
    <row r="126" spans="1:25" x14ac:dyDescent="0.25">
      <c r="A126" s="601"/>
      <c r="B126" s="709">
        <v>19</v>
      </c>
      <c r="C126" s="710">
        <f>-+'Trial Deposits Engine'!Z78</f>
        <v>36869</v>
      </c>
      <c r="D126" s="619"/>
      <c r="E126" s="710">
        <f>+'eTool Data Engine'!X18</f>
        <v>71628</v>
      </c>
      <c r="F126" s="619"/>
      <c r="G126" s="710">
        <f>+'eTool Data Engine'!X17</f>
        <v>-292605</v>
      </c>
      <c r="H126" s="844"/>
      <c r="I126" s="845">
        <f t="shared" si="10"/>
        <v>614.48333333333335</v>
      </c>
      <c r="J126" s="619"/>
      <c r="K126" s="619"/>
      <c r="L126" s="841"/>
      <c r="M126" s="351">
        <f ca="1">+'eTool Data Engine'!X46</f>
        <v>-292605.2701330203</v>
      </c>
      <c r="N126" s="619"/>
      <c r="O126" s="846">
        <f t="shared" ca="1" si="11"/>
        <v>-0.27013302029808983</v>
      </c>
      <c r="P126" s="849"/>
      <c r="Q126" s="843">
        <f t="shared" si="12"/>
        <v>19</v>
      </c>
      <c r="R126" s="845">
        <f t="shared" si="13"/>
        <v>1193.8</v>
      </c>
      <c r="S126" s="688"/>
      <c r="T126" s="845">
        <f t="shared" ca="1" si="14"/>
        <v>-4876.7545022170052</v>
      </c>
      <c r="U126" s="601"/>
      <c r="V126" s="845">
        <f t="shared" si="16"/>
        <v>296486</v>
      </c>
      <c r="W126" s="601"/>
      <c r="X126" s="847">
        <f ca="1">+'Trial Dep. Projections Sumry'!AA52</f>
        <v>28279.275702010214</v>
      </c>
      <c r="Y126" s="847">
        <f t="shared" ca="1" si="15"/>
        <v>-263760.4089169699</v>
      </c>
    </row>
    <row r="127" spans="1:25" x14ac:dyDescent="0.25">
      <c r="A127" s="601"/>
      <c r="B127" s="709">
        <v>20</v>
      </c>
      <c r="C127" s="710">
        <f>-+'Trial Deposits Engine'!AA78</f>
        <v>296486</v>
      </c>
      <c r="D127" s="619"/>
      <c r="E127" s="710">
        <f>+'eTool Data Engine'!Y18</f>
        <v>73060</v>
      </c>
      <c r="F127" s="619"/>
      <c r="G127" s="710">
        <f>+'eTool Data Engine'!Y17</f>
        <v>-560246</v>
      </c>
      <c r="H127" s="844"/>
      <c r="I127" s="845">
        <f t="shared" si="10"/>
        <v>4941.4333333333334</v>
      </c>
      <c r="J127" s="619"/>
      <c r="K127" s="619"/>
      <c r="L127" s="841"/>
      <c r="M127" s="351">
        <f ca="1">+'eTool Data Engine'!Y46</f>
        <v>-560246.4089169699</v>
      </c>
      <c r="N127" s="619"/>
      <c r="O127" s="846">
        <f t="shared" ca="1" si="11"/>
        <v>-0.40891696990001947</v>
      </c>
      <c r="P127" s="849"/>
      <c r="Q127" s="843">
        <f t="shared" si="12"/>
        <v>20</v>
      </c>
      <c r="R127" s="845">
        <f t="shared" si="13"/>
        <v>1217.6666666666667</v>
      </c>
      <c r="S127" s="688"/>
      <c r="T127" s="845">
        <f t="shared" ca="1" si="14"/>
        <v>-9337.4401486161642</v>
      </c>
      <c r="U127" s="601"/>
      <c r="V127" s="845">
        <f t="shared" si="16"/>
        <v>0</v>
      </c>
      <c r="W127" s="601"/>
      <c r="X127" s="847">
        <f ca="1">+'Trial Dep. Projections Sumry'!AB52</f>
        <v>28844.861216050416</v>
      </c>
      <c r="Y127" s="847">
        <f t="shared" ca="1" si="15"/>
        <v>-560246.4089169699</v>
      </c>
    </row>
    <row r="128" spans="1:25" ht="18" customHeight="1" x14ac:dyDescent="0.25">
      <c r="A128" s="601"/>
      <c r="B128" s="850" t="s">
        <v>22</v>
      </c>
      <c r="C128" s="851">
        <f>SUM(C108:C127)</f>
        <v>1262312</v>
      </c>
      <c r="D128" s="619"/>
      <c r="E128" s="619"/>
      <c r="F128" s="739"/>
      <c r="G128" s="619"/>
      <c r="H128" s="619"/>
      <c r="I128" s="619"/>
      <c r="J128" s="619"/>
      <c r="K128" s="852"/>
      <c r="L128" s="853"/>
      <c r="M128" s="853" t="s">
        <v>229</v>
      </c>
      <c r="N128" s="619"/>
      <c r="O128" s="851">
        <f ca="1">SUM(O108:O127)</f>
        <v>-5.2809796292858664</v>
      </c>
      <c r="P128" s="714"/>
      <c r="Q128" s="843" t="str">
        <f t="shared" si="12"/>
        <v>Total</v>
      </c>
      <c r="R128" s="688"/>
      <c r="S128" s="688"/>
      <c r="T128" s="601"/>
      <c r="U128" s="601"/>
      <c r="V128" s="601"/>
      <c r="W128" s="601"/>
      <c r="X128" s="847">
        <f ca="1">SUM(X108:X127)</f>
        <v>702065.5910830301</v>
      </c>
      <c r="Y128" s="847">
        <f t="shared" ca="1" si="15"/>
        <v>-1822558.4089169698</v>
      </c>
    </row>
    <row r="129" spans="1:23" ht="61.5" customHeight="1" x14ac:dyDescent="0.25">
      <c r="A129" s="601"/>
      <c r="B129" s="854"/>
      <c r="C129" s="1100" t="s">
        <v>230</v>
      </c>
      <c r="D129" s="1100"/>
      <c r="E129" s="1100"/>
      <c r="F129" s="1100"/>
      <c r="G129" s="1100"/>
      <c r="H129" s="1100"/>
      <c r="I129" s="1100"/>
      <c r="J129" s="1100"/>
      <c r="K129" s="1100"/>
      <c r="L129" s="855"/>
      <c r="M129" s="855"/>
      <c r="N129" s="619"/>
      <c r="O129" s="856" t="s">
        <v>231</v>
      </c>
      <c r="P129" s="857"/>
      <c r="Q129" s="688"/>
      <c r="R129" s="688"/>
      <c r="S129" s="688"/>
      <c r="T129" s="601"/>
      <c r="U129" s="601"/>
      <c r="V129" s="601"/>
      <c r="W129" s="601"/>
    </row>
    <row r="130" spans="1:23" ht="15.75" thickBot="1" x14ac:dyDescent="0.3">
      <c r="A130" s="601"/>
      <c r="B130" s="858"/>
      <c r="C130" s="859"/>
      <c r="D130" s="859"/>
      <c r="E130" s="859"/>
      <c r="F130" s="859"/>
      <c r="G130" s="859"/>
      <c r="H130" s="859"/>
      <c r="I130" s="859"/>
      <c r="J130" s="859"/>
      <c r="K130" s="860"/>
      <c r="L130" s="860"/>
      <c r="M130" s="861"/>
      <c r="N130" s="718"/>
      <c r="O130" s="718"/>
      <c r="P130" s="720"/>
      <c r="Q130" s="688"/>
      <c r="R130" s="688"/>
      <c r="S130" s="688"/>
      <c r="T130" s="601"/>
      <c r="U130" s="601"/>
      <c r="V130" s="601"/>
      <c r="W130" s="601"/>
    </row>
    <row r="131" spans="1:23" x14ac:dyDescent="0.25">
      <c r="A131" s="601"/>
      <c r="B131" s="601"/>
      <c r="C131" s="601"/>
      <c r="D131" s="601"/>
      <c r="E131" s="601"/>
      <c r="F131" s="601"/>
      <c r="G131" s="601"/>
      <c r="H131" s="601"/>
      <c r="I131" s="601"/>
      <c r="J131" s="601"/>
      <c r="K131" s="601"/>
      <c r="L131" s="601"/>
      <c r="M131" s="601"/>
      <c r="N131" s="601"/>
      <c r="O131" s="601"/>
      <c r="P131" s="601"/>
      <c r="Q131" s="601"/>
      <c r="R131" s="601"/>
      <c r="S131" s="601"/>
      <c r="T131" s="601"/>
      <c r="U131" s="601"/>
      <c r="V131" s="601"/>
      <c r="W131" s="601"/>
    </row>
    <row r="152" ht="15" customHeight="1" x14ac:dyDescent="0.25"/>
  </sheetData>
  <sheetProtection algorithmName="SHA-512" hashValue="0etihyoZogxYt8cIBK+862MdjsDusJo6cxGktYG18WQ6O4GyTWO4e4ArTEigjMA/POHNGwvcgVyRVC+Fks2OPQ==" saltValue="Id4DqlOxArsLEvj4ICqKdA==" spinCount="100000" sheet="1" objects="1" scenarios="1"/>
  <mergeCells count="21">
    <mergeCell ref="B14:B15"/>
    <mergeCell ref="I33:I34"/>
    <mergeCell ref="C129:K129"/>
    <mergeCell ref="C6:J6"/>
    <mergeCell ref="C8:I8"/>
    <mergeCell ref="I28:I31"/>
    <mergeCell ref="I19:I21"/>
    <mergeCell ref="C104:M104"/>
    <mergeCell ref="C28:G28"/>
    <mergeCell ref="C64:G64"/>
    <mergeCell ref="C80:G80"/>
    <mergeCell ref="C94:I97"/>
    <mergeCell ref="C48:G48"/>
    <mergeCell ref="I36:I37"/>
    <mergeCell ref="C23:I24"/>
    <mergeCell ref="M2:Q4"/>
    <mergeCell ref="B2:J2"/>
    <mergeCell ref="B3:C3"/>
    <mergeCell ref="D3:J3"/>
    <mergeCell ref="B4:C4"/>
    <mergeCell ref="D4:J4"/>
  </mergeCells>
  <conditionalFormatting sqref="I19">
    <cfRule type="cellIs" dxfId="35" priority="36" operator="equal">
      <formula>"REQUIREMENTS MET"</formula>
    </cfRule>
    <cfRule type="cellIs" dxfId="34" priority="37" operator="equal">
      <formula>"violation exists"</formula>
    </cfRule>
  </conditionalFormatting>
  <conditionalFormatting sqref="M2">
    <cfRule type="cellIs" dxfId="33" priority="28" operator="equal">
      <formula>"REQUIREMENTS MET"</formula>
    </cfRule>
    <cfRule type="cellIs" dxfId="32" priority="29" operator="equal">
      <formula>"violation exists"</formula>
    </cfRule>
  </conditionalFormatting>
  <conditionalFormatting sqref="C19">
    <cfRule type="expression" dxfId="31" priority="9">
      <formula>C19="PASS"</formula>
    </cfRule>
    <cfRule type="expression" dxfId="30" priority="10">
      <formula>C19="FAIL"</formula>
    </cfRule>
  </conditionalFormatting>
  <conditionalFormatting sqref="E19">
    <cfRule type="expression" dxfId="29" priority="3">
      <formula>E19="PASS"</formula>
    </cfRule>
    <cfRule type="expression" dxfId="28" priority="4">
      <formula>E19="FAIL"</formula>
    </cfRule>
  </conditionalFormatting>
  <conditionalFormatting sqref="G19">
    <cfRule type="expression" dxfId="27" priority="1">
      <formula>G19="PASS"</formula>
    </cfRule>
    <cfRule type="expression" dxfId="26" priority="2">
      <formula>G19="FAIL"</formula>
    </cfRule>
  </conditionalFormatting>
  <dataValidations count="3">
    <dataValidation allowBlank="1" showErrorMessage="1" sqref="D4" xr:uid="{0E7AB3D0-E2E0-4804-908E-2A6EEA060022}"/>
    <dataValidation type="textLength" allowBlank="1" showInputMessage="1" showErrorMessage="1" promptTitle="Input project name" prompt="Name shoud be the same as that appearing in the application." sqref="D4" xr:uid="{D12852A6-20EC-41AC-A6C2-859F64A4FD95}">
      <formula1>1</formula1>
      <formula2>75</formula2>
    </dataValidation>
    <dataValidation allowBlank="1" showInputMessage="1" showErrorMessage="1" promptTitle="MAP Appendix 5.VII.B.6" prompt="Reserves balances amounts must equal or exceed the projected capital costs plus any minimum balance requirements for each of the first 10 years in the Estimate Period. " sqref="C19 E19 G19" xr:uid="{12A6F5C0-45CF-4253-A4F0-87E639F536D7}"/>
  </dataValidations>
  <hyperlinks>
    <hyperlink ref="G21" location="User_lnput_Amort._Test_violations" display="click here" xr:uid="{0095C5E8-E21F-49E8-8D3A-5D6A3F28739B}"/>
    <hyperlink ref="C21" location="User_Trial_Input_Req.Min._Bal._violations__Yr_1_10" display="click here" xr:uid="{395E1684-0DCE-4132-94FD-D56DCC4EE8DC}"/>
    <hyperlink ref="E21" location="Trial_Dep_RMB_RY11_violations" display="Details: Click Here" xr:uid="{08326836-3DAD-4080-AFA1-B6B0D3A06439}"/>
    <hyperlink ref="I26" location="Additional_eTool_vs._Trial_Dep_Anal" display="click here" xr:uid="{BC9D82EE-5D87-4D1D-8BF5-278569AB5233}"/>
    <hyperlink ref="I38" location="Additional_eTool_vs._Trial_Dep_Anal" display="click here" xr:uid="{48E05913-C180-4BBD-8C29-674358FC633B}"/>
  </hyperlinks>
  <printOptions horizontalCentered="1"/>
  <pageMargins left="0.35" right="0.31" top="0.75" bottom="0.75" header="0.3" footer="0.3"/>
  <pageSetup scale="90" orientation="portrait" horizontalDpi="1800" verticalDpi="1800" r:id="rId1"/>
  <headerFooter>
    <oddHeader>&amp;C&amp;F
&amp;A&amp;R&amp;D</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0"/>
    <pageSetUpPr fitToPage="1"/>
  </sheetPr>
  <dimension ref="A1:M49"/>
  <sheetViews>
    <sheetView zoomScale="90" zoomScaleNormal="90" workbookViewId="0"/>
  </sheetViews>
  <sheetFormatPr defaultRowHeight="15" x14ac:dyDescent="0.25"/>
  <cols>
    <col min="1" max="1" width="9.140625" style="489"/>
    <col min="2" max="2" width="4.42578125" style="489" customWidth="1"/>
    <col min="3" max="3" width="16.85546875" style="489" customWidth="1"/>
    <col min="4" max="4" width="3.140625" style="489" customWidth="1"/>
    <col min="5" max="5" width="18.28515625" style="489" customWidth="1"/>
    <col min="6" max="6" width="3.42578125" style="489" customWidth="1"/>
    <col min="7" max="7" width="21.7109375" style="489" customWidth="1"/>
    <col min="8" max="8" width="4" style="489" customWidth="1"/>
    <col min="9" max="9" width="18.7109375" style="489" customWidth="1"/>
    <col min="10" max="10" width="4" style="489" customWidth="1"/>
    <col min="11" max="11" width="9.140625" style="489"/>
    <col min="12" max="12" width="66.5703125" style="489" customWidth="1"/>
    <col min="13" max="16384" width="9.140625" style="489"/>
  </cols>
  <sheetData>
    <row r="1" spans="1:13" ht="15.75" thickBot="1" x14ac:dyDescent="0.3">
      <c r="A1" s="862"/>
      <c r="B1" s="862"/>
      <c r="C1" s="862"/>
      <c r="D1" s="862"/>
      <c r="E1" s="862"/>
      <c r="F1" s="862"/>
      <c r="G1" s="862"/>
      <c r="H1" s="862"/>
      <c r="I1" s="862"/>
      <c r="J1" s="862"/>
      <c r="K1" s="862"/>
      <c r="L1" s="862"/>
      <c r="M1" s="862"/>
    </row>
    <row r="2" spans="1:13" x14ac:dyDescent="0.25">
      <c r="A2" s="862"/>
      <c r="B2" s="863"/>
      <c r="C2" s="864"/>
      <c r="D2" s="864"/>
      <c r="E2" s="864"/>
      <c r="F2" s="864"/>
      <c r="G2" s="864"/>
      <c r="H2" s="864"/>
      <c r="I2" s="864"/>
      <c r="J2" s="865"/>
      <c r="K2" s="862"/>
      <c r="L2" s="862"/>
      <c r="M2" s="862"/>
    </row>
    <row r="3" spans="1:13" x14ac:dyDescent="0.25">
      <c r="A3" s="862"/>
      <c r="B3" s="866"/>
      <c r="C3" s="867"/>
      <c r="D3" s="867"/>
      <c r="E3" s="867"/>
      <c r="F3" s="868" t="s">
        <v>232</v>
      </c>
      <c r="G3" s="867"/>
      <c r="H3" s="867"/>
      <c r="I3" s="867"/>
      <c r="J3" s="869"/>
      <c r="K3" s="862"/>
      <c r="L3" s="862"/>
      <c r="M3" s="862"/>
    </row>
    <row r="4" spans="1:13" x14ac:dyDescent="0.25">
      <c r="A4" s="862"/>
      <c r="B4" s="866"/>
      <c r="C4" s="867"/>
      <c r="D4" s="867"/>
      <c r="E4" s="867"/>
      <c r="F4" s="868"/>
      <c r="G4" s="867"/>
      <c r="H4" s="867"/>
      <c r="I4" s="867"/>
      <c r="J4" s="869"/>
      <c r="K4" s="862"/>
      <c r="L4" s="862"/>
      <c r="M4" s="862"/>
    </row>
    <row r="5" spans="1:13" ht="15" customHeight="1" x14ac:dyDescent="0.25">
      <c r="A5" s="862"/>
      <c r="B5" s="866"/>
      <c r="C5" s="1120" t="s">
        <v>233</v>
      </c>
      <c r="D5" s="1120"/>
      <c r="E5" s="1120"/>
      <c r="F5" s="1120"/>
      <c r="G5" s="1120"/>
      <c r="H5" s="1120"/>
      <c r="I5" s="1120"/>
      <c r="J5" s="869"/>
      <c r="K5" s="862"/>
      <c r="L5" s="862"/>
      <c r="M5" s="862"/>
    </row>
    <row r="6" spans="1:13" x14ac:dyDescent="0.25">
      <c r="A6" s="862"/>
      <c r="B6" s="866"/>
      <c r="C6" s="1120"/>
      <c r="D6" s="1120"/>
      <c r="E6" s="1120"/>
      <c r="F6" s="1120"/>
      <c r="G6" s="1120"/>
      <c r="H6" s="1120"/>
      <c r="I6" s="1120"/>
      <c r="J6" s="869"/>
      <c r="K6" s="862"/>
      <c r="L6" s="862"/>
      <c r="M6" s="862"/>
    </row>
    <row r="7" spans="1:13" x14ac:dyDescent="0.25">
      <c r="A7" s="862"/>
      <c r="B7" s="870"/>
      <c r="C7" s="871"/>
      <c r="D7" s="871"/>
      <c r="E7" s="871"/>
      <c r="F7" s="872" t="s">
        <v>234</v>
      </c>
      <c r="G7" s="871"/>
      <c r="H7" s="871"/>
      <c r="I7" s="871"/>
      <c r="J7" s="873"/>
      <c r="K7" s="862"/>
      <c r="L7" s="862"/>
      <c r="M7" s="862"/>
    </row>
    <row r="8" spans="1:13" ht="15.75" thickBot="1" x14ac:dyDescent="0.3">
      <c r="A8" s="862"/>
      <c r="B8" s="866"/>
      <c r="C8" s="867"/>
      <c r="D8" s="867"/>
      <c r="E8" s="867"/>
      <c r="F8" s="867"/>
      <c r="G8" s="867"/>
      <c r="H8" s="867"/>
      <c r="I8" s="867"/>
      <c r="J8" s="869"/>
      <c r="K8" s="862"/>
      <c r="L8" s="862"/>
      <c r="M8" s="862"/>
    </row>
    <row r="9" spans="1:13" x14ac:dyDescent="0.25">
      <c r="A9" s="862"/>
      <c r="B9" s="866"/>
      <c r="C9" s="867" t="s">
        <v>235</v>
      </c>
      <c r="D9" s="867"/>
      <c r="E9" s="1121" t="str">
        <f>+'eTool Data Analysis'!D3</f>
        <v>New Project Apartments</v>
      </c>
      <c r="F9" s="1122"/>
      <c r="G9" s="1123"/>
      <c r="H9" s="867"/>
      <c r="I9" s="874"/>
      <c r="J9" s="869"/>
      <c r="K9" s="862"/>
      <c r="L9" s="862"/>
      <c r="M9" s="862"/>
    </row>
    <row r="10" spans="1:13" ht="15.75" thickBot="1" x14ac:dyDescent="0.3">
      <c r="A10" s="862"/>
      <c r="B10" s="866"/>
      <c r="C10" s="867" t="s">
        <v>236</v>
      </c>
      <c r="D10" s="867"/>
      <c r="E10" s="1124">
        <f>+'eTool Data Analysis'!D4</f>
        <v>12345678</v>
      </c>
      <c r="F10" s="1125"/>
      <c r="G10" s="1126"/>
      <c r="H10" s="867"/>
      <c r="I10" s="874"/>
      <c r="J10" s="869"/>
      <c r="K10" s="862"/>
      <c r="L10" s="862"/>
      <c r="M10" s="862"/>
    </row>
    <row r="11" spans="1:13" ht="15" customHeight="1" thickBot="1" x14ac:dyDescent="0.3">
      <c r="A11" s="862"/>
      <c r="B11" s="866"/>
      <c r="C11" s="867" t="s">
        <v>122</v>
      </c>
      <c r="D11" s="867"/>
      <c r="E11" s="1117" t="str">
        <f>+'eTool Data Analysis'!N2</f>
        <v>Anytown</v>
      </c>
      <c r="F11" s="1118"/>
      <c r="G11" s="1119"/>
      <c r="H11" s="875"/>
      <c r="I11" s="876"/>
      <c r="J11" s="869"/>
      <c r="K11" s="862"/>
      <c r="L11" s="862"/>
      <c r="M11" s="862"/>
    </row>
    <row r="12" spans="1:13" ht="15" customHeight="1" thickBot="1" x14ac:dyDescent="0.3">
      <c r="A12" s="862"/>
      <c r="B12" s="866"/>
      <c r="C12" s="867" t="s">
        <v>126</v>
      </c>
      <c r="D12" s="867"/>
      <c r="E12" s="1117" t="str">
        <f>+'eTool Data Analysis'!N3</f>
        <v>Iowa</v>
      </c>
      <c r="F12" s="1118"/>
      <c r="G12" s="1119"/>
      <c r="H12" s="875"/>
      <c r="I12" s="876"/>
      <c r="J12" s="869"/>
      <c r="K12" s="862"/>
      <c r="L12" s="862"/>
      <c r="M12" s="862"/>
    </row>
    <row r="13" spans="1:13" ht="15.75" thickBot="1" x14ac:dyDescent="0.3">
      <c r="A13" s="862"/>
      <c r="B13" s="866"/>
      <c r="C13" s="867" t="s">
        <v>129</v>
      </c>
      <c r="D13" s="867"/>
      <c r="E13" s="1117" t="str">
        <f>+'eTool Data Analysis'!N4</f>
        <v>SOA per Application</v>
      </c>
      <c r="F13" s="1118"/>
      <c r="G13" s="1119"/>
      <c r="H13" s="875"/>
      <c r="I13" s="876"/>
      <c r="J13" s="869"/>
      <c r="K13" s="862"/>
      <c r="L13" s="862"/>
      <c r="M13" s="862"/>
    </row>
    <row r="14" spans="1:13" ht="15" customHeight="1" thickBot="1" x14ac:dyDescent="0.3">
      <c r="A14" s="862"/>
      <c r="B14" s="866"/>
      <c r="C14" s="867" t="s">
        <v>131</v>
      </c>
      <c r="D14" s="867"/>
      <c r="E14" s="1117" t="str">
        <f>+'eTool Data Analysis'!N5</f>
        <v>Commitment Lender Name</v>
      </c>
      <c r="F14" s="1118"/>
      <c r="G14" s="1119"/>
      <c r="H14" s="875"/>
      <c r="I14" s="876"/>
      <c r="J14" s="869"/>
      <c r="K14" s="862"/>
      <c r="L14" s="862"/>
      <c r="M14" s="862"/>
    </row>
    <row r="15" spans="1:13" ht="15" customHeight="1" x14ac:dyDescent="0.25">
      <c r="A15" s="862"/>
      <c r="B15" s="866"/>
      <c r="C15" s="867"/>
      <c r="D15" s="867"/>
      <c r="E15" s="877"/>
      <c r="F15" s="877"/>
      <c r="G15" s="878"/>
      <c r="H15" s="875"/>
      <c r="I15" s="876"/>
      <c r="J15" s="869"/>
      <c r="K15" s="862"/>
      <c r="L15" s="862"/>
      <c r="M15" s="862"/>
    </row>
    <row r="16" spans="1:13" x14ac:dyDescent="0.25">
      <c r="A16" s="862"/>
      <c r="B16" s="866"/>
      <c r="C16" s="879"/>
      <c r="D16" s="867"/>
      <c r="E16" s="853" t="s">
        <v>237</v>
      </c>
      <c r="F16" s="880"/>
      <c r="G16" s="341"/>
      <c r="H16" s="875"/>
      <c r="I16" s="876"/>
      <c r="J16" s="869"/>
      <c r="K16" s="862"/>
      <c r="L16" s="862"/>
      <c r="M16" s="862"/>
    </row>
    <row r="17" spans="1:13" ht="15.75" thickBot="1" x14ac:dyDescent="0.3">
      <c r="A17" s="862"/>
      <c r="B17" s="881"/>
      <c r="C17" s="882"/>
      <c r="D17" s="882"/>
      <c r="E17" s="882"/>
      <c r="F17" s="882"/>
      <c r="G17" s="882"/>
      <c r="H17" s="882"/>
      <c r="I17" s="882"/>
      <c r="J17" s="883"/>
      <c r="K17" s="862"/>
      <c r="L17" s="862"/>
      <c r="M17" s="862"/>
    </row>
    <row r="18" spans="1:13" x14ac:dyDescent="0.25">
      <c r="A18" s="862"/>
      <c r="B18" s="863"/>
      <c r="C18" s="864"/>
      <c r="D18" s="864"/>
      <c r="E18" s="879"/>
      <c r="F18" s="884" t="s">
        <v>238</v>
      </c>
      <c r="G18" s="864"/>
      <c r="H18" s="864"/>
      <c r="I18" s="864"/>
      <c r="J18" s="865"/>
      <c r="K18" s="862"/>
      <c r="L18" s="862"/>
      <c r="M18" s="862"/>
    </row>
    <row r="19" spans="1:13" ht="15" customHeight="1" x14ac:dyDescent="0.25">
      <c r="A19" s="862"/>
      <c r="B19" s="866"/>
      <c r="C19" s="879"/>
      <c r="D19" s="867"/>
      <c r="E19" s="885"/>
      <c r="F19" s="867"/>
      <c r="G19" s="886"/>
      <c r="H19" s="867"/>
      <c r="I19" s="867"/>
      <c r="J19" s="869"/>
      <c r="K19" s="862"/>
      <c r="L19" s="862"/>
      <c r="M19" s="862"/>
    </row>
    <row r="20" spans="1:13" ht="15" customHeight="1" x14ac:dyDescent="0.25">
      <c r="A20" s="862"/>
      <c r="B20" s="866"/>
      <c r="C20" s="887" t="s">
        <v>239</v>
      </c>
      <c r="D20" s="879"/>
      <c r="E20" s="885"/>
      <c r="F20" s="867"/>
      <c r="G20" s="886"/>
      <c r="H20" s="867"/>
      <c r="I20" s="888">
        <f>+'eTool Data Engine'!C20</f>
        <v>200000</v>
      </c>
      <c r="J20" s="869"/>
      <c r="K20" s="862"/>
      <c r="L20" s="862"/>
      <c r="M20" s="862"/>
    </row>
    <row r="21" spans="1:13" ht="15" customHeight="1" x14ac:dyDescent="0.25">
      <c r="A21" s="862"/>
      <c r="B21" s="866"/>
      <c r="C21" s="614"/>
      <c r="D21" s="614"/>
      <c r="E21" s="885"/>
      <c r="F21" s="867"/>
      <c r="G21" s="886"/>
      <c r="H21" s="867"/>
      <c r="I21" s="867"/>
      <c r="J21" s="869"/>
      <c r="K21" s="862"/>
      <c r="L21" s="862"/>
      <c r="M21" s="862"/>
    </row>
    <row r="22" spans="1:13" ht="15" customHeight="1" x14ac:dyDescent="0.25">
      <c r="A22" s="862"/>
      <c r="B22" s="889"/>
      <c r="C22" s="890"/>
      <c r="D22" s="891" t="s">
        <v>240</v>
      </c>
      <c r="E22" s="892"/>
      <c r="F22" s="893"/>
      <c r="G22" s="894"/>
      <c r="H22" s="893"/>
      <c r="I22" s="893"/>
      <c r="J22" s="895"/>
      <c r="K22" s="862"/>
      <c r="L22" s="862"/>
      <c r="M22" s="862"/>
    </row>
    <row r="23" spans="1:13" x14ac:dyDescent="0.25">
      <c r="A23" s="862"/>
      <c r="B23" s="866"/>
      <c r="C23" s="896" t="s">
        <v>241</v>
      </c>
      <c r="D23" s="867"/>
      <c r="E23" s="885"/>
      <c r="F23" s="867"/>
      <c r="G23" s="886"/>
      <c r="H23" s="867"/>
      <c r="I23" s="867"/>
      <c r="J23" s="869"/>
      <c r="K23" s="862"/>
      <c r="L23" s="862"/>
      <c r="M23" s="862"/>
    </row>
    <row r="24" spans="1:13" ht="12.75" customHeight="1" x14ac:dyDescent="0.25">
      <c r="A24" s="862"/>
      <c r="B24" s="866"/>
      <c r="C24" s="888">
        <f>+'eTool Data Engine'!C22</f>
        <v>330</v>
      </c>
      <c r="D24" s="867"/>
      <c r="E24" s="1116" t="s">
        <v>242</v>
      </c>
      <c r="F24" s="1116"/>
      <c r="G24" s="1116"/>
      <c r="H24" s="879"/>
      <c r="I24" s="897"/>
      <c r="J24" s="869"/>
      <c r="K24" s="862"/>
      <c r="L24" s="862"/>
      <c r="M24" s="862"/>
    </row>
    <row r="25" spans="1:13" ht="17.25" customHeight="1" x14ac:dyDescent="0.25">
      <c r="A25" s="862"/>
      <c r="B25" s="866"/>
      <c r="C25" s="896" t="s">
        <v>243</v>
      </c>
      <c r="D25" s="867"/>
      <c r="E25" s="898"/>
      <c r="F25" s="618"/>
      <c r="G25" s="899" t="str">
        <f>+'Trial Deposits Analysis'!C10</f>
        <v>Initial Rate of Change in Annual Deposit:</v>
      </c>
      <c r="H25" s="879"/>
      <c r="I25" s="900">
        <f>+'eTool Data Engine'!G32</f>
        <v>0.02</v>
      </c>
      <c r="J25" s="869"/>
      <c r="K25" s="862"/>
      <c r="L25" s="862"/>
      <c r="M25" s="862"/>
    </row>
    <row r="26" spans="1:13" ht="15" customHeight="1" x14ac:dyDescent="0.25">
      <c r="A26" s="862"/>
      <c r="B26" s="866"/>
      <c r="C26" s="901">
        <f>+'eTool Data Engine'!C23</f>
        <v>60</v>
      </c>
      <c r="D26" s="867"/>
      <c r="E26" s="898"/>
      <c r="F26" s="618"/>
      <c r="G26" s="899" t="str">
        <f>+'Trial Deposits Analysis'!G10</f>
        <v>Relative Year of Change:</v>
      </c>
      <c r="H26" s="879"/>
      <c r="I26" s="902" t="str">
        <f ca="1">IF(I25=I27,"Constant Rate",'eTool Data Engine'!F33)</f>
        <v>Constant Rate</v>
      </c>
      <c r="J26" s="869"/>
      <c r="K26" s="862"/>
      <c r="L26" s="862"/>
      <c r="M26" s="862"/>
    </row>
    <row r="27" spans="1:13" ht="15" customHeight="1" x14ac:dyDescent="0.25">
      <c r="A27" s="862"/>
      <c r="B27" s="866"/>
      <c r="C27" s="896" t="s">
        <v>244</v>
      </c>
      <c r="D27" s="867"/>
      <c r="E27" s="898"/>
      <c r="F27" s="618"/>
      <c r="G27" s="899" t="str">
        <f>+'Trial Deposits Analysis'!E10</f>
        <v>Rate of Change after the Relative Year of Change:</v>
      </c>
      <c r="H27" s="879"/>
      <c r="I27" s="900">
        <f ca="1">+'eTool Data Engine'!F40</f>
        <v>0.02</v>
      </c>
      <c r="J27" s="869"/>
      <c r="K27" s="862"/>
      <c r="L27" s="862"/>
      <c r="M27" s="862"/>
    </row>
    <row r="28" spans="1:13" x14ac:dyDescent="0.25">
      <c r="A28" s="862"/>
      <c r="B28" s="866"/>
      <c r="C28" s="888">
        <f>+C24*C26</f>
        <v>19800</v>
      </c>
      <c r="D28" s="867"/>
      <c r="E28" s="903"/>
      <c r="F28" s="904"/>
      <c r="G28" s="886"/>
      <c r="H28" s="867"/>
      <c r="I28" s="867"/>
      <c r="J28" s="869"/>
      <c r="K28" s="862"/>
      <c r="L28" s="862"/>
      <c r="M28" s="862"/>
    </row>
    <row r="29" spans="1:13" ht="39" customHeight="1" x14ac:dyDescent="0.25">
      <c r="A29" s="862"/>
      <c r="B29" s="866"/>
      <c r="C29" s="905" t="str">
        <f>+'eTool Data Analysis'!$B$53</f>
        <v>Relative Year</v>
      </c>
      <c r="D29" s="867"/>
      <c r="E29" s="905" t="s">
        <v>245</v>
      </c>
      <c r="F29" s="867"/>
      <c r="G29" s="905" t="s">
        <v>246</v>
      </c>
      <c r="H29" s="875"/>
      <c r="I29" s="905" t="s">
        <v>247</v>
      </c>
      <c r="J29" s="869"/>
      <c r="K29" s="862"/>
      <c r="L29" s="862"/>
      <c r="M29" s="862"/>
    </row>
    <row r="30" spans="1:13" x14ac:dyDescent="0.25">
      <c r="A30" s="862"/>
      <c r="B30" s="866"/>
      <c r="C30" s="906">
        <f>+'eTool Data Analysis'!$B54</f>
        <v>1</v>
      </c>
      <c r="D30" s="867"/>
      <c r="E30" s="907">
        <f>+'eTool Data'!F6</f>
        <v>19800</v>
      </c>
      <c r="F30" s="867"/>
      <c r="G30" s="907">
        <f>+'eTool Data'!F6</f>
        <v>19800</v>
      </c>
      <c r="H30" s="867"/>
      <c r="I30" s="908">
        <f>+G30/12</f>
        <v>1650</v>
      </c>
      <c r="J30" s="869"/>
      <c r="K30" s="862"/>
      <c r="L30" s="909"/>
      <c r="M30" s="862"/>
    </row>
    <row r="31" spans="1:13" x14ac:dyDescent="0.25">
      <c r="A31" s="862"/>
      <c r="B31" s="866"/>
      <c r="C31" s="906">
        <f>+'eTool Data Analysis'!$B55</f>
        <v>2</v>
      </c>
      <c r="D31" s="867"/>
      <c r="E31" s="907">
        <f t="shared" ref="E31:E39" si="0">+E30</f>
        <v>19800</v>
      </c>
      <c r="F31" s="867"/>
      <c r="G31" s="907">
        <f>+'eTool Data'!G6</f>
        <v>20196</v>
      </c>
      <c r="H31" s="910"/>
      <c r="I31" s="908">
        <f t="shared" ref="I31:I39" si="1">+G31/12</f>
        <v>1683</v>
      </c>
      <c r="J31" s="869"/>
      <c r="K31" s="862"/>
      <c r="L31" s="909"/>
      <c r="M31" s="862"/>
    </row>
    <row r="32" spans="1:13" x14ac:dyDescent="0.25">
      <c r="A32" s="862"/>
      <c r="B32" s="866"/>
      <c r="C32" s="906">
        <f>+'eTool Data Analysis'!$B56</f>
        <v>3</v>
      </c>
      <c r="D32" s="867"/>
      <c r="E32" s="907">
        <f t="shared" si="0"/>
        <v>19800</v>
      </c>
      <c r="F32" s="867"/>
      <c r="G32" s="907">
        <f>+'eTool Data'!H6</f>
        <v>20600</v>
      </c>
      <c r="H32" s="867"/>
      <c r="I32" s="908">
        <f t="shared" si="1"/>
        <v>1716.6666666666667</v>
      </c>
      <c r="J32" s="869"/>
      <c r="K32" s="862"/>
      <c r="L32" s="909"/>
      <c r="M32" s="862"/>
    </row>
    <row r="33" spans="1:13" x14ac:dyDescent="0.25">
      <c r="A33" s="862"/>
      <c r="B33" s="866"/>
      <c r="C33" s="906">
        <f>+'eTool Data Analysis'!$B57</f>
        <v>4</v>
      </c>
      <c r="D33" s="867"/>
      <c r="E33" s="907">
        <f t="shared" si="0"/>
        <v>19800</v>
      </c>
      <c r="F33" s="867"/>
      <c r="G33" s="907">
        <f>+'eTool Data'!I6</f>
        <v>21012</v>
      </c>
      <c r="H33" s="867"/>
      <c r="I33" s="908">
        <f t="shared" si="1"/>
        <v>1751</v>
      </c>
      <c r="J33" s="869"/>
      <c r="K33" s="862"/>
      <c r="L33" s="909"/>
      <c r="M33" s="862"/>
    </row>
    <row r="34" spans="1:13" x14ac:dyDescent="0.25">
      <c r="A34" s="862"/>
      <c r="B34" s="866"/>
      <c r="C34" s="906">
        <f>+'eTool Data Analysis'!$B58</f>
        <v>5</v>
      </c>
      <c r="D34" s="867"/>
      <c r="E34" s="907">
        <f t="shared" si="0"/>
        <v>19800</v>
      </c>
      <c r="F34" s="867"/>
      <c r="G34" s="907">
        <f>+'eTool Data'!J6</f>
        <v>21432</v>
      </c>
      <c r="H34" s="867"/>
      <c r="I34" s="908">
        <f t="shared" si="1"/>
        <v>1786</v>
      </c>
      <c r="J34" s="869"/>
      <c r="K34" s="862"/>
      <c r="L34" s="909"/>
      <c r="M34" s="862"/>
    </row>
    <row r="35" spans="1:13" x14ac:dyDescent="0.25">
      <c r="A35" s="862"/>
      <c r="B35" s="866"/>
      <c r="C35" s="906">
        <f>+'eTool Data Analysis'!$B59</f>
        <v>6</v>
      </c>
      <c r="D35" s="867"/>
      <c r="E35" s="907">
        <f t="shared" si="0"/>
        <v>19800</v>
      </c>
      <c r="F35" s="867"/>
      <c r="G35" s="907">
        <f>+'eTool Data'!K6</f>
        <v>21861</v>
      </c>
      <c r="H35" s="867"/>
      <c r="I35" s="908">
        <f t="shared" si="1"/>
        <v>1821.75</v>
      </c>
      <c r="J35" s="869"/>
      <c r="K35" s="862"/>
      <c r="L35" s="909"/>
      <c r="M35" s="862"/>
    </row>
    <row r="36" spans="1:13" x14ac:dyDescent="0.25">
      <c r="A36" s="862"/>
      <c r="B36" s="866"/>
      <c r="C36" s="906">
        <f>+'eTool Data Analysis'!$B60</f>
        <v>7</v>
      </c>
      <c r="D36" s="867"/>
      <c r="E36" s="907">
        <f t="shared" si="0"/>
        <v>19800</v>
      </c>
      <c r="F36" s="867"/>
      <c r="G36" s="907">
        <f>+'eTool Data'!L6</f>
        <v>22298</v>
      </c>
      <c r="H36" s="867"/>
      <c r="I36" s="908">
        <f t="shared" si="1"/>
        <v>1858.1666666666667</v>
      </c>
      <c r="J36" s="869"/>
      <c r="K36" s="862"/>
      <c r="L36" s="909"/>
      <c r="M36" s="862"/>
    </row>
    <row r="37" spans="1:13" x14ac:dyDescent="0.25">
      <c r="A37" s="862"/>
      <c r="B37" s="866"/>
      <c r="C37" s="906">
        <f>+'eTool Data Analysis'!$B61</f>
        <v>8</v>
      </c>
      <c r="D37" s="867"/>
      <c r="E37" s="907">
        <f t="shared" si="0"/>
        <v>19800</v>
      </c>
      <c r="F37" s="867"/>
      <c r="G37" s="907">
        <f>+'eTool Data'!M6</f>
        <v>22744</v>
      </c>
      <c r="H37" s="867"/>
      <c r="I37" s="908">
        <f t="shared" si="1"/>
        <v>1895.3333333333333</v>
      </c>
      <c r="J37" s="869"/>
      <c r="K37" s="862"/>
      <c r="L37" s="909"/>
      <c r="M37" s="862"/>
    </row>
    <row r="38" spans="1:13" x14ac:dyDescent="0.25">
      <c r="A38" s="862"/>
      <c r="B38" s="866"/>
      <c r="C38" s="906">
        <f>+'eTool Data Analysis'!$B62</f>
        <v>9</v>
      </c>
      <c r="D38" s="867"/>
      <c r="E38" s="907">
        <f t="shared" si="0"/>
        <v>19800</v>
      </c>
      <c r="F38" s="867"/>
      <c r="G38" s="907">
        <f>+'eTool Data'!N6</f>
        <v>23199</v>
      </c>
      <c r="H38" s="867"/>
      <c r="I38" s="908">
        <f t="shared" si="1"/>
        <v>1933.25</v>
      </c>
      <c r="J38" s="869"/>
      <c r="K38" s="862"/>
      <c r="L38" s="862"/>
      <c r="M38" s="862"/>
    </row>
    <row r="39" spans="1:13" x14ac:dyDescent="0.25">
      <c r="A39" s="862"/>
      <c r="B39" s="866"/>
      <c r="C39" s="906">
        <f>+'eTool Data Analysis'!$B63</f>
        <v>10</v>
      </c>
      <c r="D39" s="867"/>
      <c r="E39" s="907">
        <f t="shared" si="0"/>
        <v>19800</v>
      </c>
      <c r="F39" s="867"/>
      <c r="G39" s="907">
        <f>+'eTool Data'!O6</f>
        <v>23663</v>
      </c>
      <c r="H39" s="867"/>
      <c r="I39" s="908">
        <f t="shared" si="1"/>
        <v>1971.9166666666667</v>
      </c>
      <c r="J39" s="869"/>
      <c r="K39" s="862"/>
      <c r="L39" s="862"/>
      <c r="M39" s="862"/>
    </row>
    <row r="40" spans="1:13" ht="15.75" thickBot="1" x14ac:dyDescent="0.3">
      <c r="A40" s="862"/>
      <c r="B40" s="866"/>
      <c r="C40" s="868" t="s">
        <v>22</v>
      </c>
      <c r="D40" s="867"/>
      <c r="E40" s="911">
        <f>SUM(E30:E39)</f>
        <v>198000</v>
      </c>
      <c r="F40" s="867"/>
      <c r="G40" s="911">
        <f>SUM(G30:G39)</f>
        <v>216805</v>
      </c>
      <c r="H40" s="867"/>
      <c r="I40" s="867"/>
      <c r="J40" s="869"/>
      <c r="K40" s="862"/>
      <c r="L40" s="862"/>
      <c r="M40" s="862"/>
    </row>
    <row r="41" spans="1:13" ht="15.75" thickTop="1" x14ac:dyDescent="0.25">
      <c r="A41" s="862"/>
      <c r="B41" s="866"/>
      <c r="C41" s="867"/>
      <c r="D41" s="867"/>
      <c r="E41" s="867"/>
      <c r="F41" s="867"/>
      <c r="G41" s="867"/>
      <c r="H41" s="867"/>
      <c r="I41" s="867"/>
      <c r="J41" s="869"/>
      <c r="K41" s="862"/>
      <c r="L41" s="862"/>
      <c r="M41" s="862"/>
    </row>
    <row r="42" spans="1:13" x14ac:dyDescent="0.25">
      <c r="A42" s="862"/>
      <c r="B42" s="866"/>
      <c r="C42" s="867" t="s">
        <v>248</v>
      </c>
      <c r="D42" s="867"/>
      <c r="E42" s="867"/>
      <c r="F42" s="867"/>
      <c r="G42" s="867"/>
      <c r="H42" s="867"/>
      <c r="I42" s="867"/>
      <c r="J42" s="869"/>
      <c r="K42" s="862"/>
      <c r="L42" s="862"/>
      <c r="M42" s="862"/>
    </row>
    <row r="43" spans="1:13" x14ac:dyDescent="0.25">
      <c r="A43" s="862"/>
      <c r="B43" s="866"/>
      <c r="C43" s="867" t="s">
        <v>249</v>
      </c>
      <c r="D43" s="867"/>
      <c r="E43" s="867"/>
      <c r="F43" s="867"/>
      <c r="G43" s="867"/>
      <c r="H43" s="867"/>
      <c r="I43" s="867"/>
      <c r="J43" s="869"/>
      <c r="K43" s="862"/>
      <c r="L43" s="862"/>
      <c r="M43" s="862"/>
    </row>
    <row r="44" spans="1:13" x14ac:dyDescent="0.25">
      <c r="A44" s="862"/>
      <c r="B44" s="866"/>
      <c r="C44" s="867" t="s">
        <v>250</v>
      </c>
      <c r="D44" s="867"/>
      <c r="E44" s="867"/>
      <c r="F44" s="867"/>
      <c r="G44" s="867"/>
      <c r="H44" s="867"/>
      <c r="I44" s="867"/>
      <c r="J44" s="869"/>
      <c r="K44" s="862"/>
      <c r="L44" s="862"/>
      <c r="M44" s="862"/>
    </row>
    <row r="45" spans="1:13" ht="15.75" thickBot="1" x14ac:dyDescent="0.3">
      <c r="A45" s="862"/>
      <c r="B45" s="881"/>
      <c r="C45" s="882"/>
      <c r="D45" s="882"/>
      <c r="E45" s="882"/>
      <c r="F45" s="882"/>
      <c r="G45" s="882"/>
      <c r="H45" s="882"/>
      <c r="I45" s="882"/>
      <c r="J45" s="883"/>
      <c r="K45" s="862"/>
      <c r="L45" s="862"/>
      <c r="M45" s="862"/>
    </row>
    <row r="46" spans="1:13" x14ac:dyDescent="0.25">
      <c r="A46" s="862"/>
      <c r="B46" s="862"/>
      <c r="C46" s="862"/>
      <c r="D46" s="862"/>
      <c r="E46" s="862"/>
      <c r="F46" s="862"/>
      <c r="G46" s="862"/>
      <c r="H46" s="862"/>
      <c r="I46" s="862"/>
      <c r="J46" s="912"/>
      <c r="K46" s="862"/>
      <c r="L46" s="862"/>
      <c r="M46" s="862"/>
    </row>
    <row r="47" spans="1:13" x14ac:dyDescent="0.25">
      <c r="A47" s="862"/>
      <c r="B47" s="862"/>
      <c r="C47" s="862"/>
      <c r="D47" s="862"/>
      <c r="E47" s="862"/>
      <c r="F47" s="862"/>
      <c r="G47" s="862"/>
      <c r="H47" s="862"/>
      <c r="I47" s="862"/>
      <c r="J47" s="862"/>
      <c r="K47" s="862"/>
      <c r="L47" s="862"/>
      <c r="M47" s="862"/>
    </row>
    <row r="48" spans="1:13" x14ac:dyDescent="0.25">
      <c r="A48" s="862"/>
      <c r="B48" s="862"/>
      <c r="C48" s="862"/>
      <c r="D48" s="862"/>
      <c r="E48" s="862"/>
      <c r="F48" s="862"/>
      <c r="G48" s="862"/>
      <c r="H48" s="862"/>
      <c r="I48" s="862"/>
      <c r="J48" s="862"/>
      <c r="K48" s="862"/>
      <c r="L48" s="862"/>
      <c r="M48" s="862"/>
    </row>
    <row r="49" spans="1:13" x14ac:dyDescent="0.25">
      <c r="A49" s="862"/>
      <c r="B49" s="862"/>
      <c r="C49" s="862"/>
      <c r="D49" s="862"/>
      <c r="E49" s="862"/>
      <c r="F49" s="862"/>
      <c r="G49" s="862"/>
      <c r="H49" s="862"/>
      <c r="I49" s="862"/>
      <c r="J49" s="862"/>
      <c r="K49" s="862"/>
      <c r="L49" s="862"/>
      <c r="M49" s="862"/>
    </row>
  </sheetData>
  <sheetProtection algorithmName="SHA-512" hashValue="sZjecjQtFawi+sHvTrCLqDhYi3s+faXfrSFKHb+21VCezDxBA7gq3zaz4tCdSsh7m/WYUwXT2euiMC3rORDGSQ==" saltValue="e6pT0SVDzwNFdoRH8j70ig==" spinCount="100000" sheet="1" objects="1" scenarios="1"/>
  <mergeCells count="8">
    <mergeCell ref="E24:G24"/>
    <mergeCell ref="E13:G13"/>
    <mergeCell ref="E14:G14"/>
    <mergeCell ref="C5:I6"/>
    <mergeCell ref="E9:G9"/>
    <mergeCell ref="E10:G10"/>
    <mergeCell ref="E11:G11"/>
    <mergeCell ref="E12:G12"/>
  </mergeCells>
  <dataValidations count="2">
    <dataValidation type="textLength" allowBlank="1" showInputMessage="1" showErrorMessage="1" promptTitle="Please input per application" prompt="Input information consistent that in the application." sqref="E15:G15" xr:uid="{00000000-0002-0000-0400-000001000000}">
      <formula1>0</formula1>
      <formula2>75</formula2>
    </dataValidation>
    <dataValidation type="date" allowBlank="1" showInputMessage="1" showErrorMessage="1" promptTitle="For HUD staff" prompt="Please input date of the commitment letter." sqref="F16:G16" xr:uid="{00000000-0002-0000-0400-000000000000}">
      <formula1>42370</formula1>
      <formula2>56980</formula2>
    </dataValidation>
  </dataValidations>
  <printOptions horizontalCentered="1"/>
  <pageMargins left="0.7" right="0.7" top="0.75" bottom="0.75" header="0.3" footer="0.3"/>
  <pageSetup scale="95" orientation="portrait" r:id="rId1"/>
  <headerFooter>
    <oddHeader xml:space="preserve">&amp;C&amp;A&amp;R&amp;D
Page &amp;P of &amp;N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0" tint="-0.14999847407452621"/>
    <pageSetUpPr fitToPage="1"/>
  </sheetPr>
  <dimension ref="A1:R83"/>
  <sheetViews>
    <sheetView workbookViewId="0"/>
  </sheetViews>
  <sheetFormatPr defaultRowHeight="15" x14ac:dyDescent="0.25"/>
  <cols>
    <col min="1" max="1" width="4.140625" customWidth="1"/>
    <col min="2" max="2" width="20.85546875" customWidth="1"/>
    <col min="3" max="3" width="20.7109375" customWidth="1"/>
    <col min="4" max="4" width="25.85546875" customWidth="1"/>
    <col min="5" max="5" width="20.7109375" customWidth="1"/>
    <col min="6" max="6" width="20.5703125" customWidth="1"/>
    <col min="7" max="7" width="20.28515625" customWidth="1"/>
    <col min="8" max="18" width="20.7109375" customWidth="1"/>
  </cols>
  <sheetData>
    <row r="1" spans="1:18" x14ac:dyDescent="0.25">
      <c r="A1" s="126"/>
      <c r="B1" s="126"/>
      <c r="C1" s="126"/>
      <c r="D1" s="126"/>
      <c r="E1" s="126"/>
      <c r="F1" s="126"/>
      <c r="G1" s="126"/>
      <c r="H1" s="126"/>
      <c r="I1" s="126"/>
      <c r="J1" s="126"/>
      <c r="K1" s="126"/>
      <c r="L1" s="126"/>
      <c r="M1" s="126"/>
      <c r="N1" s="126"/>
      <c r="O1" s="126"/>
      <c r="P1" s="126"/>
      <c r="Q1" s="126"/>
      <c r="R1" s="126"/>
    </row>
    <row r="2" spans="1:18" x14ac:dyDescent="0.25">
      <c r="A2" s="126"/>
      <c r="B2" s="45"/>
      <c r="C2" s="180" t="s">
        <v>251</v>
      </c>
      <c r="D2" s="343" t="str">
        <f>+'eTool Data Analysis'!$D$3:$J$3</f>
        <v>New Project Apartments</v>
      </c>
      <c r="E2" s="344"/>
      <c r="F2" s="1127" t="s">
        <v>537</v>
      </c>
      <c r="G2" s="1127"/>
      <c r="H2" s="1127"/>
      <c r="I2" s="1127"/>
      <c r="J2" s="46"/>
      <c r="K2" s="46"/>
      <c r="L2" s="46"/>
      <c r="M2" s="46"/>
      <c r="N2" s="46"/>
      <c r="O2" s="46"/>
      <c r="P2" s="46"/>
      <c r="Q2" s="47"/>
      <c r="R2" s="126"/>
    </row>
    <row r="3" spans="1:18" x14ac:dyDescent="0.25">
      <c r="A3" s="126"/>
      <c r="B3" s="60"/>
      <c r="C3" s="91" t="s">
        <v>252</v>
      </c>
      <c r="D3" s="342">
        <f>+'eTool Data Analysis'!$D$4:$J$4</f>
        <v>12345678</v>
      </c>
      <c r="E3" s="61"/>
      <c r="F3" s="1128"/>
      <c r="G3" s="1128"/>
      <c r="H3" s="1128"/>
      <c r="I3" s="1128"/>
      <c r="J3" s="61"/>
      <c r="K3" s="61"/>
      <c r="L3" s="61"/>
      <c r="M3" s="61"/>
      <c r="N3" s="61"/>
      <c r="O3" s="61"/>
      <c r="P3" s="61"/>
      <c r="Q3" s="62"/>
      <c r="R3" s="126"/>
    </row>
    <row r="4" spans="1:18" x14ac:dyDescent="0.25">
      <c r="A4" s="126"/>
      <c r="B4" s="128"/>
      <c r="C4" s="129"/>
      <c r="D4" s="129"/>
      <c r="E4" s="129"/>
      <c r="F4" s="129"/>
      <c r="G4" s="129"/>
      <c r="H4" s="129"/>
      <c r="I4" s="129"/>
      <c r="J4" s="129"/>
      <c r="K4" s="129"/>
      <c r="L4" s="129"/>
      <c r="M4" s="129"/>
      <c r="N4" s="129"/>
      <c r="O4" s="129"/>
      <c r="P4" s="129"/>
      <c r="Q4" s="130"/>
      <c r="R4" s="126"/>
    </row>
    <row r="5" spans="1:18" x14ac:dyDescent="0.25">
      <c r="A5" s="126"/>
      <c r="B5" s="128"/>
      <c r="C5" s="129"/>
      <c r="D5" s="129"/>
      <c r="E5" s="129"/>
      <c r="F5" s="129"/>
      <c r="G5" s="129"/>
      <c r="H5" s="129"/>
      <c r="I5" s="129"/>
      <c r="J5" s="129"/>
      <c r="K5" s="129"/>
      <c r="L5" s="129"/>
      <c r="M5" s="129"/>
      <c r="N5" s="129"/>
      <c r="O5" s="129"/>
      <c r="P5" s="129"/>
      <c r="Q5" s="130"/>
      <c r="R5" s="126"/>
    </row>
    <row r="6" spans="1:18" x14ac:dyDescent="0.25">
      <c r="A6" s="126"/>
      <c r="B6" s="128"/>
      <c r="C6" s="129"/>
      <c r="D6" s="129"/>
      <c r="E6" s="129"/>
      <c r="F6" s="129"/>
      <c r="G6" s="129"/>
      <c r="H6" s="129"/>
      <c r="I6" s="129"/>
      <c r="J6" s="129"/>
      <c r="K6" s="129"/>
      <c r="L6" s="129"/>
      <c r="M6" s="129"/>
      <c r="N6" s="129"/>
      <c r="O6" s="129"/>
      <c r="P6" s="129"/>
      <c r="Q6" s="130"/>
      <c r="R6" s="126"/>
    </row>
    <row r="7" spans="1:18" x14ac:dyDescent="0.25">
      <c r="A7" s="126"/>
      <c r="B7" s="128"/>
      <c r="C7" s="129"/>
      <c r="D7" s="129"/>
      <c r="E7" s="129"/>
      <c r="F7" s="129"/>
      <c r="G7" s="129"/>
      <c r="H7" s="129"/>
      <c r="I7" s="129"/>
      <c r="J7" s="129"/>
      <c r="K7" s="129"/>
      <c r="L7" s="129"/>
      <c r="M7" s="129"/>
      <c r="N7" s="129"/>
      <c r="O7" s="129"/>
      <c r="P7" s="129"/>
      <c r="Q7" s="130"/>
      <c r="R7" s="126"/>
    </row>
    <row r="8" spans="1:18" x14ac:dyDescent="0.25">
      <c r="A8" s="126"/>
      <c r="B8" s="128"/>
      <c r="C8" s="129"/>
      <c r="D8" s="129"/>
      <c r="E8" s="129"/>
      <c r="F8" s="129"/>
      <c r="G8" s="129"/>
      <c r="H8" s="129"/>
      <c r="I8" s="129"/>
      <c r="J8" s="129"/>
      <c r="K8" s="129"/>
      <c r="L8" s="129"/>
      <c r="M8" s="129"/>
      <c r="N8" s="129"/>
      <c r="O8" s="129"/>
      <c r="P8" s="129"/>
      <c r="Q8" s="130"/>
      <c r="R8" s="126"/>
    </row>
    <row r="9" spans="1:18" x14ac:dyDescent="0.25">
      <c r="A9" s="126"/>
      <c r="B9" s="128"/>
      <c r="C9" s="129"/>
      <c r="D9" s="129"/>
      <c r="E9" s="129"/>
      <c r="F9" s="129"/>
      <c r="G9" s="129"/>
      <c r="H9" s="129"/>
      <c r="I9" s="129"/>
      <c r="J9" s="129"/>
      <c r="K9" s="129"/>
      <c r="L9" s="129"/>
      <c r="M9" s="129"/>
      <c r="N9" s="129"/>
      <c r="O9" s="129"/>
      <c r="P9" s="129"/>
      <c r="Q9" s="130"/>
      <c r="R9" s="126"/>
    </row>
    <row r="10" spans="1:18" x14ac:dyDescent="0.25">
      <c r="A10" s="126"/>
      <c r="B10" s="128"/>
      <c r="C10" s="129"/>
      <c r="D10" s="129"/>
      <c r="E10" s="129"/>
      <c r="F10" s="129"/>
      <c r="G10" s="129"/>
      <c r="H10" s="129"/>
      <c r="I10" s="129"/>
      <c r="J10" s="129"/>
      <c r="K10" s="129"/>
      <c r="L10" s="129"/>
      <c r="M10" s="129"/>
      <c r="N10" s="129"/>
      <c r="O10" s="129"/>
      <c r="P10" s="129"/>
      <c r="Q10" s="130"/>
      <c r="R10" s="126"/>
    </row>
    <row r="11" spans="1:18" x14ac:dyDescent="0.25">
      <c r="A11" s="126"/>
      <c r="B11" s="128"/>
      <c r="C11" s="129"/>
      <c r="D11" s="129"/>
      <c r="E11" s="129"/>
      <c r="F11" s="129"/>
      <c r="G11" s="129"/>
      <c r="H11" s="129"/>
      <c r="I11" s="129"/>
      <c r="J11" s="129"/>
      <c r="K11" s="129"/>
      <c r="L11" s="129"/>
      <c r="M11" s="129"/>
      <c r="N11" s="129"/>
      <c r="O11" s="129"/>
      <c r="P11" s="129"/>
      <c r="Q11" s="130"/>
      <c r="R11" s="126"/>
    </row>
    <row r="12" spans="1:18" x14ac:dyDescent="0.25">
      <c r="A12" s="126"/>
      <c r="B12" s="128"/>
      <c r="C12" s="129"/>
      <c r="D12" s="129"/>
      <c r="E12" s="129"/>
      <c r="F12" s="129"/>
      <c r="G12" s="129"/>
      <c r="H12" s="129"/>
      <c r="I12" s="129"/>
      <c r="J12" s="129"/>
      <c r="K12" s="129"/>
      <c r="L12" s="129"/>
      <c r="M12" s="129"/>
      <c r="N12" s="129"/>
      <c r="O12" s="129"/>
      <c r="P12" s="129"/>
      <c r="Q12" s="130"/>
      <c r="R12" s="126"/>
    </row>
    <row r="13" spans="1:18" x14ac:dyDescent="0.25">
      <c r="A13" s="126"/>
      <c r="B13" s="128"/>
      <c r="C13" s="129"/>
      <c r="D13" s="129"/>
      <c r="E13" s="129"/>
      <c r="F13" s="129"/>
      <c r="G13" s="129"/>
      <c r="H13" s="129"/>
      <c r="I13" s="129"/>
      <c r="J13" s="129"/>
      <c r="K13" s="129"/>
      <c r="L13" s="129"/>
      <c r="M13" s="129"/>
      <c r="N13" s="129"/>
      <c r="O13" s="129"/>
      <c r="P13" s="129"/>
      <c r="Q13" s="130"/>
      <c r="R13" s="126"/>
    </row>
    <row r="14" spans="1:18" x14ac:dyDescent="0.25">
      <c r="A14" s="126"/>
      <c r="B14" s="128"/>
      <c r="C14" s="129"/>
      <c r="D14" s="129"/>
      <c r="E14" s="129"/>
      <c r="F14" s="129"/>
      <c r="G14" s="129"/>
      <c r="H14" s="129"/>
      <c r="I14" s="129"/>
      <c r="J14" s="129"/>
      <c r="K14" s="129"/>
      <c r="L14" s="129"/>
      <c r="M14" s="129"/>
      <c r="N14" s="129"/>
      <c r="O14" s="129"/>
      <c r="P14" s="129"/>
      <c r="Q14" s="130"/>
      <c r="R14" s="126"/>
    </row>
    <row r="15" spans="1:18" x14ac:dyDescent="0.25">
      <c r="A15" s="126"/>
      <c r="B15" s="128"/>
      <c r="C15" s="129"/>
      <c r="D15" s="129"/>
      <c r="E15" s="129"/>
      <c r="F15" s="129"/>
      <c r="G15" s="129"/>
      <c r="H15" s="129"/>
      <c r="I15" s="129"/>
      <c r="J15" s="129"/>
      <c r="K15" s="129"/>
      <c r="L15" s="129"/>
      <c r="M15" s="129"/>
      <c r="N15" s="129"/>
      <c r="O15" s="129"/>
      <c r="P15" s="129"/>
      <c r="Q15" s="130"/>
      <c r="R15" s="126"/>
    </row>
    <row r="16" spans="1:18" x14ac:dyDescent="0.25">
      <c r="A16" s="126"/>
      <c r="B16" s="128"/>
      <c r="C16" s="129"/>
      <c r="D16" s="129"/>
      <c r="E16" s="129"/>
      <c r="F16" s="129"/>
      <c r="G16" s="129"/>
      <c r="H16" s="129"/>
      <c r="I16" s="129"/>
      <c r="J16" s="129"/>
      <c r="K16" s="129"/>
      <c r="L16" s="129"/>
      <c r="M16" s="129"/>
      <c r="N16" s="129"/>
      <c r="O16" s="129"/>
      <c r="P16" s="129"/>
      <c r="Q16" s="130"/>
      <c r="R16" s="126"/>
    </row>
    <row r="17" spans="1:18" x14ac:dyDescent="0.25">
      <c r="A17" s="126"/>
      <c r="B17" s="128"/>
      <c r="C17" s="129"/>
      <c r="D17" s="129"/>
      <c r="E17" s="129"/>
      <c r="F17" s="129"/>
      <c r="G17" s="129"/>
      <c r="H17" s="129"/>
      <c r="I17" s="129"/>
      <c r="J17" s="129"/>
      <c r="K17" s="129"/>
      <c r="L17" s="129"/>
      <c r="M17" s="129"/>
      <c r="N17" s="129"/>
      <c r="O17" s="129"/>
      <c r="P17" s="129"/>
      <c r="Q17" s="130"/>
      <c r="R17" s="126"/>
    </row>
    <row r="18" spans="1:18" x14ac:dyDescent="0.25">
      <c r="A18" s="126"/>
      <c r="B18" s="128"/>
      <c r="C18" s="129"/>
      <c r="D18" s="129"/>
      <c r="E18" s="129"/>
      <c r="F18" s="129"/>
      <c r="G18" s="129"/>
      <c r="H18" s="129"/>
      <c r="I18" s="129"/>
      <c r="J18" s="129"/>
      <c r="K18" s="129"/>
      <c r="L18" s="129"/>
      <c r="M18" s="129"/>
      <c r="N18" s="129"/>
      <c r="O18" s="129"/>
      <c r="P18" s="129"/>
      <c r="Q18" s="130"/>
      <c r="R18" s="126"/>
    </row>
    <row r="19" spans="1:18" x14ac:dyDescent="0.25">
      <c r="A19" s="126"/>
      <c r="B19" s="128"/>
      <c r="C19" s="129"/>
      <c r="D19" s="129"/>
      <c r="E19" s="129"/>
      <c r="F19" s="129"/>
      <c r="G19" s="129"/>
      <c r="H19" s="129"/>
      <c r="I19" s="129"/>
      <c r="J19" s="129"/>
      <c r="K19" s="129"/>
      <c r="L19" s="129"/>
      <c r="M19" s="129"/>
      <c r="N19" s="129"/>
      <c r="O19" s="129"/>
      <c r="P19" s="129"/>
      <c r="Q19" s="130"/>
      <c r="R19" s="126"/>
    </row>
    <row r="20" spans="1:18" x14ac:dyDescent="0.25">
      <c r="A20" s="126"/>
      <c r="B20" s="128"/>
      <c r="C20" s="129"/>
      <c r="D20" s="129"/>
      <c r="E20" s="129"/>
      <c r="F20" s="129"/>
      <c r="G20" s="129"/>
      <c r="H20" s="129"/>
      <c r="I20" s="129"/>
      <c r="J20" s="129"/>
      <c r="K20" s="129"/>
      <c r="L20" s="129"/>
      <c r="M20" s="129"/>
      <c r="N20" s="129"/>
      <c r="O20" s="129"/>
      <c r="P20" s="129"/>
      <c r="Q20" s="130"/>
      <c r="R20" s="126"/>
    </row>
    <row r="21" spans="1:18" x14ac:dyDescent="0.25">
      <c r="A21" s="126"/>
      <c r="B21" s="128"/>
      <c r="C21" s="129"/>
      <c r="D21" s="129"/>
      <c r="E21" s="129"/>
      <c r="F21" s="129"/>
      <c r="G21" s="129"/>
      <c r="H21" s="129"/>
      <c r="I21" s="129"/>
      <c r="J21" s="129"/>
      <c r="K21" s="129"/>
      <c r="L21" s="129"/>
      <c r="M21" s="129"/>
      <c r="N21" s="129"/>
      <c r="O21" s="129"/>
      <c r="P21" s="129"/>
      <c r="Q21" s="130"/>
      <c r="R21" s="126"/>
    </row>
    <row r="22" spans="1:18" x14ac:dyDescent="0.25">
      <c r="A22" s="126"/>
      <c r="B22" s="128"/>
      <c r="C22" s="129"/>
      <c r="D22" s="129"/>
      <c r="E22" s="129"/>
      <c r="F22" s="129"/>
      <c r="G22" s="129"/>
      <c r="H22" s="129"/>
      <c r="I22" s="129"/>
      <c r="J22" s="129"/>
      <c r="K22" s="129"/>
      <c r="L22" s="129"/>
      <c r="M22" s="129"/>
      <c r="N22" s="129"/>
      <c r="O22" s="129"/>
      <c r="P22" s="129"/>
      <c r="Q22" s="130"/>
      <c r="R22" s="126"/>
    </row>
    <row r="23" spans="1:18" x14ac:dyDescent="0.25">
      <c r="A23" s="126"/>
      <c r="B23" s="128"/>
      <c r="C23" s="129"/>
      <c r="D23" s="129"/>
      <c r="E23" s="129"/>
      <c r="F23" s="129"/>
      <c r="G23" s="129"/>
      <c r="H23" s="129"/>
      <c r="I23" s="129"/>
      <c r="J23" s="129"/>
      <c r="K23" s="129"/>
      <c r="L23" s="129"/>
      <c r="M23" s="129"/>
      <c r="N23" s="129"/>
      <c r="O23" s="129"/>
      <c r="P23" s="129"/>
      <c r="Q23" s="130"/>
      <c r="R23" s="126"/>
    </row>
    <row r="24" spans="1:18" x14ac:dyDescent="0.25">
      <c r="A24" s="126"/>
      <c r="B24" s="128"/>
      <c r="C24" s="129"/>
      <c r="D24" s="129"/>
      <c r="E24" s="129"/>
      <c r="F24" s="129"/>
      <c r="G24" s="129"/>
      <c r="H24" s="129"/>
      <c r="I24" s="129"/>
      <c r="J24" s="129"/>
      <c r="K24" s="129"/>
      <c r="L24" s="129"/>
      <c r="M24" s="129"/>
      <c r="N24" s="129"/>
      <c r="O24" s="129"/>
      <c r="P24" s="129"/>
      <c r="Q24" s="130"/>
      <c r="R24" s="126"/>
    </row>
    <row r="25" spans="1:18" x14ac:dyDescent="0.25">
      <c r="A25" s="126"/>
      <c r="B25" s="128"/>
      <c r="C25" s="129"/>
      <c r="D25" s="129"/>
      <c r="E25" s="129"/>
      <c r="F25" s="129"/>
      <c r="G25" s="129"/>
      <c r="H25" s="129"/>
      <c r="I25" s="129"/>
      <c r="J25" s="129"/>
      <c r="K25" s="129"/>
      <c r="L25" s="129"/>
      <c r="M25" s="129"/>
      <c r="N25" s="129"/>
      <c r="O25" s="129"/>
      <c r="P25" s="129"/>
      <c r="Q25" s="130"/>
      <c r="R25" s="126"/>
    </row>
    <row r="26" spans="1:18" x14ac:dyDescent="0.25">
      <c r="A26" s="126"/>
      <c r="B26" s="128"/>
      <c r="C26" s="129"/>
      <c r="D26" s="129"/>
      <c r="E26" s="129"/>
      <c r="F26" s="129"/>
      <c r="G26" s="129"/>
      <c r="H26" s="129"/>
      <c r="I26" s="129"/>
      <c r="J26" s="129"/>
      <c r="K26" s="129"/>
      <c r="L26" s="129"/>
      <c r="M26" s="129"/>
      <c r="N26" s="129"/>
      <c r="O26" s="129"/>
      <c r="P26" s="129"/>
      <c r="Q26" s="130"/>
      <c r="R26" s="126"/>
    </row>
    <row r="27" spans="1:18" x14ac:dyDescent="0.25">
      <c r="A27" s="126"/>
      <c r="B27" s="128"/>
      <c r="C27" s="129"/>
      <c r="D27" s="129"/>
      <c r="E27" s="129"/>
      <c r="F27" s="129"/>
      <c r="G27" s="129"/>
      <c r="H27" s="129"/>
      <c r="I27" s="129"/>
      <c r="J27" s="129"/>
      <c r="K27" s="129"/>
      <c r="L27" s="129"/>
      <c r="M27" s="129"/>
      <c r="N27" s="129"/>
      <c r="O27" s="129"/>
      <c r="P27" s="129"/>
      <c r="Q27" s="130"/>
      <c r="R27" s="126"/>
    </row>
    <row r="28" spans="1:18" x14ac:dyDescent="0.25">
      <c r="A28" s="126"/>
      <c r="B28" s="128"/>
      <c r="C28" s="129"/>
      <c r="D28" s="129"/>
      <c r="E28" s="129"/>
      <c r="F28" s="129"/>
      <c r="G28" s="129"/>
      <c r="H28" s="129"/>
      <c r="I28" s="129"/>
      <c r="J28" s="129"/>
      <c r="K28" s="129"/>
      <c r="L28" s="129"/>
      <c r="M28" s="129"/>
      <c r="N28" s="129"/>
      <c r="O28" s="129"/>
      <c r="P28" s="129"/>
      <c r="Q28" s="130"/>
      <c r="R28" s="126"/>
    </row>
    <row r="29" spans="1:18" x14ac:dyDescent="0.25">
      <c r="A29" s="126"/>
      <c r="B29" s="128"/>
      <c r="C29" s="129"/>
      <c r="D29" s="129"/>
      <c r="E29" s="129"/>
      <c r="F29" s="129"/>
      <c r="G29" s="129"/>
      <c r="H29" s="129"/>
      <c r="I29" s="129"/>
      <c r="J29" s="129"/>
      <c r="K29" s="129"/>
      <c r="L29" s="129"/>
      <c r="M29" s="129"/>
      <c r="N29" s="129"/>
      <c r="O29" s="129"/>
      <c r="P29" s="129"/>
      <c r="Q29" s="130"/>
      <c r="R29" s="126"/>
    </row>
    <row r="30" spans="1:18" x14ac:dyDescent="0.25">
      <c r="A30" s="126"/>
      <c r="B30" s="128"/>
      <c r="C30" s="129"/>
      <c r="D30" s="129"/>
      <c r="E30" s="129"/>
      <c r="F30" s="129"/>
      <c r="G30" s="129"/>
      <c r="H30" s="129"/>
      <c r="I30" s="129"/>
      <c r="J30" s="129"/>
      <c r="K30" s="129"/>
      <c r="L30" s="129"/>
      <c r="M30" s="129"/>
      <c r="N30" s="129"/>
      <c r="O30" s="129"/>
      <c r="P30" s="129"/>
      <c r="Q30" s="130"/>
      <c r="R30" s="126"/>
    </row>
    <row r="31" spans="1:18" x14ac:dyDescent="0.25">
      <c r="A31" s="126"/>
      <c r="B31" s="128"/>
      <c r="C31" s="129"/>
      <c r="D31" s="129"/>
      <c r="E31" s="129"/>
      <c r="F31" s="129"/>
      <c r="G31" s="129"/>
      <c r="H31" s="129"/>
      <c r="I31" s="129"/>
      <c r="J31" s="129"/>
      <c r="K31" s="129"/>
      <c r="L31" s="129"/>
      <c r="M31" s="129"/>
      <c r="N31" s="129"/>
      <c r="O31" s="129"/>
      <c r="P31" s="129"/>
      <c r="Q31" s="130"/>
      <c r="R31" s="126"/>
    </row>
    <row r="32" spans="1:18" x14ac:dyDescent="0.25">
      <c r="A32" s="126"/>
      <c r="B32" s="128"/>
      <c r="C32" s="129"/>
      <c r="D32" s="129"/>
      <c r="E32" s="129"/>
      <c r="F32" s="129"/>
      <c r="G32" s="129"/>
      <c r="H32" s="129"/>
      <c r="I32" s="129"/>
      <c r="J32" s="129"/>
      <c r="K32" s="129"/>
      <c r="L32" s="129"/>
      <c r="M32" s="129"/>
      <c r="N32" s="129"/>
      <c r="O32" s="129"/>
      <c r="P32" s="129"/>
      <c r="Q32" s="130"/>
      <c r="R32" s="126"/>
    </row>
    <row r="33" spans="1:18" x14ac:dyDescent="0.25">
      <c r="A33" s="126"/>
      <c r="B33" s="128"/>
      <c r="C33" s="129"/>
      <c r="D33" s="129"/>
      <c r="E33" s="129"/>
      <c r="F33" s="129"/>
      <c r="G33" s="129"/>
      <c r="H33" s="129"/>
      <c r="I33" s="129"/>
      <c r="J33" s="129"/>
      <c r="K33" s="129"/>
      <c r="L33" s="129"/>
      <c r="M33" s="129"/>
      <c r="N33" s="129"/>
      <c r="O33" s="129"/>
      <c r="P33" s="129"/>
      <c r="Q33" s="130"/>
      <c r="R33" s="126"/>
    </row>
    <row r="34" spans="1:18" x14ac:dyDescent="0.25">
      <c r="A34" s="126"/>
      <c r="B34" s="128"/>
      <c r="C34" s="129"/>
      <c r="D34" s="129"/>
      <c r="E34" s="129"/>
      <c r="F34" s="129"/>
      <c r="G34" s="129"/>
      <c r="H34" s="129"/>
      <c r="I34" s="129"/>
      <c r="J34" s="129"/>
      <c r="K34" s="129"/>
      <c r="L34" s="129"/>
      <c r="M34" s="129"/>
      <c r="N34" s="129"/>
      <c r="O34" s="129"/>
      <c r="P34" s="129"/>
      <c r="Q34" s="130"/>
      <c r="R34" s="126"/>
    </row>
    <row r="35" spans="1:18" x14ac:dyDescent="0.25">
      <c r="A35" s="126"/>
      <c r="B35" s="128"/>
      <c r="C35" s="129"/>
      <c r="D35" s="129"/>
      <c r="E35" s="129"/>
      <c r="F35" s="129"/>
      <c r="G35" s="129"/>
      <c r="H35" s="129"/>
      <c r="I35" s="129"/>
      <c r="J35" s="129"/>
      <c r="K35" s="129"/>
      <c r="L35" s="129"/>
      <c r="M35" s="129"/>
      <c r="N35" s="129"/>
      <c r="O35" s="129"/>
      <c r="P35" s="129"/>
      <c r="Q35" s="130"/>
      <c r="R35" s="126"/>
    </row>
    <row r="36" spans="1:18" x14ac:dyDescent="0.25">
      <c r="A36" s="126"/>
      <c r="B36" s="128"/>
      <c r="C36" s="129"/>
      <c r="D36" s="129"/>
      <c r="E36" s="129"/>
      <c r="F36" s="129"/>
      <c r="G36" s="129"/>
      <c r="H36" s="129"/>
      <c r="I36" s="129"/>
      <c r="J36" s="129"/>
      <c r="K36" s="129"/>
      <c r="L36" s="129"/>
      <c r="M36" s="129"/>
      <c r="N36" s="129"/>
      <c r="O36" s="129"/>
      <c r="P36" s="129"/>
      <c r="Q36" s="130"/>
      <c r="R36" s="126"/>
    </row>
    <row r="37" spans="1:18" x14ac:dyDescent="0.25">
      <c r="A37" s="126"/>
      <c r="B37" s="128"/>
      <c r="C37" s="129"/>
      <c r="D37" s="129"/>
      <c r="E37" s="129"/>
      <c r="F37" s="129"/>
      <c r="G37" s="129"/>
      <c r="H37" s="129"/>
      <c r="I37" s="129"/>
      <c r="J37" s="129"/>
      <c r="K37" s="129"/>
      <c r="L37" s="129"/>
      <c r="M37" s="129"/>
      <c r="N37" s="129"/>
      <c r="O37" s="129"/>
      <c r="P37" s="129"/>
      <c r="Q37" s="130"/>
      <c r="R37" s="126"/>
    </row>
    <row r="38" spans="1:18" x14ac:dyDescent="0.25">
      <c r="A38" s="126"/>
      <c r="B38" s="128"/>
      <c r="C38" s="129"/>
      <c r="D38" s="129"/>
      <c r="E38" s="129"/>
      <c r="F38" s="129"/>
      <c r="G38" s="129"/>
      <c r="H38" s="129"/>
      <c r="I38" s="129"/>
      <c r="J38" s="129"/>
      <c r="K38" s="129"/>
      <c r="L38" s="129"/>
      <c r="M38" s="129"/>
      <c r="N38" s="129"/>
      <c r="O38" s="129"/>
      <c r="P38" s="129"/>
      <c r="Q38" s="130"/>
      <c r="R38" s="126"/>
    </row>
    <row r="39" spans="1:18" x14ac:dyDescent="0.25">
      <c r="A39" s="126"/>
      <c r="B39" s="128"/>
      <c r="C39" s="129"/>
      <c r="D39" s="129"/>
      <c r="E39" s="129"/>
      <c r="F39" s="129"/>
      <c r="G39" s="129"/>
      <c r="H39" s="129"/>
      <c r="I39" s="129"/>
      <c r="J39" s="129"/>
      <c r="K39" s="129"/>
      <c r="L39" s="129"/>
      <c r="M39" s="129"/>
      <c r="N39" s="129"/>
      <c r="O39" s="129"/>
      <c r="P39" s="129"/>
      <c r="Q39" s="130"/>
      <c r="R39" s="126"/>
    </row>
    <row r="40" spans="1:18" x14ac:dyDescent="0.25">
      <c r="A40" s="126"/>
      <c r="B40" s="128"/>
      <c r="C40" s="129"/>
      <c r="D40" s="129"/>
      <c r="E40" s="129"/>
      <c r="F40" s="129"/>
      <c r="G40" s="129"/>
      <c r="H40" s="129"/>
      <c r="I40" s="129"/>
      <c r="J40" s="129"/>
      <c r="K40" s="129"/>
      <c r="L40" s="129"/>
      <c r="M40" s="129"/>
      <c r="N40" s="129"/>
      <c r="O40" s="129"/>
      <c r="P40" s="129"/>
      <c r="Q40" s="130"/>
      <c r="R40" s="126"/>
    </row>
    <row r="41" spans="1:18" x14ac:dyDescent="0.25">
      <c r="A41" s="126"/>
      <c r="B41" s="128"/>
      <c r="C41" s="129"/>
      <c r="D41" s="129"/>
      <c r="E41" s="129"/>
      <c r="F41" s="129"/>
      <c r="G41" s="129"/>
      <c r="H41" s="129"/>
      <c r="I41" s="129"/>
      <c r="J41" s="129"/>
      <c r="K41" s="129"/>
      <c r="L41" s="129"/>
      <c r="M41" s="129"/>
      <c r="N41" s="129"/>
      <c r="O41" s="129"/>
      <c r="P41" s="129"/>
      <c r="Q41" s="130"/>
      <c r="R41" s="126"/>
    </row>
    <row r="42" spans="1:18" x14ac:dyDescent="0.25">
      <c r="A42" s="126"/>
      <c r="B42" s="128"/>
      <c r="C42" s="129"/>
      <c r="D42" s="129"/>
      <c r="E42" s="129"/>
      <c r="F42" s="129"/>
      <c r="G42" s="129"/>
      <c r="H42" s="129"/>
      <c r="I42" s="129"/>
      <c r="J42" s="129"/>
      <c r="K42" s="129"/>
      <c r="L42" s="129"/>
      <c r="M42" s="129"/>
      <c r="N42" s="129"/>
      <c r="O42" s="129"/>
      <c r="P42" s="129"/>
      <c r="Q42" s="130"/>
      <c r="R42" s="126"/>
    </row>
    <row r="43" spans="1:18" x14ac:dyDescent="0.25">
      <c r="A43" s="126"/>
      <c r="B43" s="128"/>
      <c r="C43" s="129"/>
      <c r="D43" s="129"/>
      <c r="E43" s="129"/>
      <c r="F43" s="129"/>
      <c r="G43" s="129"/>
      <c r="H43" s="129"/>
      <c r="I43" s="129"/>
      <c r="J43" s="129"/>
      <c r="K43" s="129"/>
      <c r="L43" s="129"/>
      <c r="M43" s="129"/>
      <c r="N43" s="129"/>
      <c r="O43" s="129"/>
      <c r="P43" s="129"/>
      <c r="Q43" s="130"/>
      <c r="R43" s="126"/>
    </row>
    <row r="44" spans="1:18" x14ac:dyDescent="0.25">
      <c r="A44" s="126"/>
      <c r="B44" s="128"/>
      <c r="C44" s="129"/>
      <c r="D44" s="129"/>
      <c r="E44" s="129"/>
      <c r="F44" s="129"/>
      <c r="G44" s="129"/>
      <c r="H44" s="129"/>
      <c r="I44" s="129"/>
      <c r="J44" s="129"/>
      <c r="K44" s="129"/>
      <c r="L44" s="129"/>
      <c r="M44" s="129"/>
      <c r="N44" s="129"/>
      <c r="O44" s="129"/>
      <c r="P44" s="129"/>
      <c r="Q44" s="130"/>
      <c r="R44" s="126"/>
    </row>
    <row r="45" spans="1:18" x14ac:dyDescent="0.25">
      <c r="A45" s="126"/>
      <c r="B45" s="128"/>
      <c r="C45" s="129"/>
      <c r="D45" s="129"/>
      <c r="E45" s="129"/>
      <c r="F45" s="129"/>
      <c r="G45" s="129"/>
      <c r="H45" s="129"/>
      <c r="I45" s="129"/>
      <c r="J45" s="129"/>
      <c r="K45" s="129"/>
      <c r="L45" s="129"/>
      <c r="M45" s="129"/>
      <c r="N45" s="129"/>
      <c r="O45" s="129"/>
      <c r="P45" s="129"/>
      <c r="Q45" s="130"/>
      <c r="R45" s="126"/>
    </row>
    <row r="46" spans="1:18" x14ac:dyDescent="0.25">
      <c r="A46" s="126"/>
      <c r="B46" s="128"/>
      <c r="C46" s="129"/>
      <c r="D46" s="129"/>
      <c r="E46" s="129"/>
      <c r="F46" s="129"/>
      <c r="G46" s="129"/>
      <c r="H46" s="129"/>
      <c r="I46" s="129"/>
      <c r="J46" s="129"/>
      <c r="K46" s="129"/>
      <c r="L46" s="129"/>
      <c r="M46" s="129"/>
      <c r="N46" s="129"/>
      <c r="O46" s="129"/>
      <c r="P46" s="129"/>
      <c r="Q46" s="130"/>
      <c r="R46" s="126"/>
    </row>
    <row r="47" spans="1:18" x14ac:dyDescent="0.25">
      <c r="A47" s="126"/>
      <c r="B47" s="128"/>
      <c r="C47" s="129"/>
      <c r="D47" s="129"/>
      <c r="E47" s="129"/>
      <c r="F47" s="129"/>
      <c r="G47" s="129"/>
      <c r="H47" s="129"/>
      <c r="I47" s="129"/>
      <c r="J47" s="129"/>
      <c r="K47" s="129"/>
      <c r="L47" s="129"/>
      <c r="M47" s="129"/>
      <c r="N47" s="129"/>
      <c r="O47" s="129"/>
      <c r="P47" s="129"/>
      <c r="Q47" s="130"/>
      <c r="R47" s="126"/>
    </row>
    <row r="48" spans="1:18" x14ac:dyDescent="0.25">
      <c r="A48" s="126"/>
      <c r="B48" s="128"/>
      <c r="C48" s="129"/>
      <c r="D48" s="129"/>
      <c r="E48" s="129"/>
      <c r="F48" s="129"/>
      <c r="G48" s="129"/>
      <c r="H48" s="129"/>
      <c r="I48" s="129"/>
      <c r="J48" s="129"/>
      <c r="K48" s="129"/>
      <c r="L48" s="129"/>
      <c r="M48" s="129"/>
      <c r="N48" s="129"/>
      <c r="O48" s="129"/>
      <c r="P48" s="129"/>
      <c r="Q48" s="130"/>
      <c r="R48" s="126"/>
    </row>
    <row r="49" spans="1:18" x14ac:dyDescent="0.25">
      <c r="A49" s="126"/>
      <c r="B49" s="128"/>
      <c r="C49" s="129"/>
      <c r="D49" s="129"/>
      <c r="E49" s="129"/>
      <c r="F49" s="129"/>
      <c r="G49" s="129"/>
      <c r="H49" s="129"/>
      <c r="I49" s="129"/>
      <c r="J49" s="129"/>
      <c r="K49" s="129"/>
      <c r="L49" s="129"/>
      <c r="M49" s="129"/>
      <c r="N49" s="129"/>
      <c r="O49" s="129"/>
      <c r="P49" s="129"/>
      <c r="Q49" s="130"/>
      <c r="R49" s="126"/>
    </row>
    <row r="50" spans="1:18" x14ac:dyDescent="0.25">
      <c r="A50" s="126"/>
      <c r="B50" s="128"/>
      <c r="C50" s="129"/>
      <c r="D50" s="129"/>
      <c r="E50" s="129"/>
      <c r="F50" s="129"/>
      <c r="G50" s="129"/>
      <c r="H50" s="129"/>
      <c r="I50" s="129"/>
      <c r="J50" s="129"/>
      <c r="K50" s="129"/>
      <c r="L50" s="129"/>
      <c r="M50" s="129"/>
      <c r="N50" s="129"/>
      <c r="O50" s="129"/>
      <c r="P50" s="129"/>
      <c r="Q50" s="130"/>
      <c r="R50" s="126"/>
    </row>
    <row r="51" spans="1:18" x14ac:dyDescent="0.25">
      <c r="A51" s="126"/>
      <c r="B51" s="128"/>
      <c r="C51" s="129"/>
      <c r="D51" s="129"/>
      <c r="E51" s="129"/>
      <c r="F51" s="129"/>
      <c r="G51" s="129"/>
      <c r="H51" s="129"/>
      <c r="I51" s="129"/>
      <c r="J51" s="129"/>
      <c r="K51" s="129"/>
      <c r="L51" s="129"/>
      <c r="M51" s="129"/>
      <c r="N51" s="129"/>
      <c r="O51" s="129"/>
      <c r="P51" s="129"/>
      <c r="Q51" s="130"/>
      <c r="R51" s="126"/>
    </row>
    <row r="52" spans="1:18" x14ac:dyDescent="0.25">
      <c r="A52" s="126"/>
      <c r="B52" s="128"/>
      <c r="C52" s="129"/>
      <c r="D52" s="129"/>
      <c r="E52" s="129"/>
      <c r="F52" s="129"/>
      <c r="G52" s="129"/>
      <c r="H52" s="129"/>
      <c r="I52" s="129"/>
      <c r="J52" s="129"/>
      <c r="K52" s="129"/>
      <c r="L52" s="129"/>
      <c r="M52" s="129"/>
      <c r="N52" s="129"/>
      <c r="O52" s="129"/>
      <c r="P52" s="129"/>
      <c r="Q52" s="130"/>
      <c r="R52" s="126"/>
    </row>
    <row r="53" spans="1:18" x14ac:dyDescent="0.25">
      <c r="A53" s="126"/>
      <c r="B53" s="128"/>
      <c r="C53" s="129"/>
      <c r="D53" s="129"/>
      <c r="E53" s="129"/>
      <c r="F53" s="129"/>
      <c r="G53" s="129"/>
      <c r="H53" s="129"/>
      <c r="I53" s="129"/>
      <c r="J53" s="129"/>
      <c r="K53" s="129"/>
      <c r="L53" s="129"/>
      <c r="M53" s="129"/>
      <c r="N53" s="129"/>
      <c r="O53" s="129"/>
      <c r="P53" s="129"/>
      <c r="Q53" s="130"/>
      <c r="R53" s="126"/>
    </row>
    <row r="54" spans="1:18" x14ac:dyDescent="0.25">
      <c r="A54" s="126"/>
      <c r="B54" s="128"/>
      <c r="C54" s="129"/>
      <c r="D54" s="129"/>
      <c r="E54" s="129"/>
      <c r="F54" s="129"/>
      <c r="G54" s="129"/>
      <c r="H54" s="129"/>
      <c r="I54" s="129"/>
      <c r="J54" s="129"/>
      <c r="K54" s="129"/>
      <c r="L54" s="129"/>
      <c r="M54" s="129"/>
      <c r="N54" s="129"/>
      <c r="O54" s="129"/>
      <c r="P54" s="129"/>
      <c r="Q54" s="130"/>
      <c r="R54" s="126"/>
    </row>
    <row r="55" spans="1:18" x14ac:dyDescent="0.25">
      <c r="A55" s="126"/>
      <c r="B55" s="128"/>
      <c r="C55" s="129"/>
      <c r="D55" s="129"/>
      <c r="E55" s="129"/>
      <c r="F55" s="129"/>
      <c r="G55" s="129"/>
      <c r="H55" s="129"/>
      <c r="I55" s="129"/>
      <c r="J55" s="129"/>
      <c r="K55" s="129"/>
      <c r="L55" s="129"/>
      <c r="M55" s="129"/>
      <c r="N55" s="129"/>
      <c r="O55" s="129"/>
      <c r="P55" s="129"/>
      <c r="Q55" s="130"/>
      <c r="R55" s="126"/>
    </row>
    <row r="56" spans="1:18" x14ac:dyDescent="0.25">
      <c r="A56" s="126"/>
      <c r="B56" s="128"/>
      <c r="C56" s="129"/>
      <c r="D56" s="129"/>
      <c r="E56" s="129"/>
      <c r="F56" s="129"/>
      <c r="G56" s="129"/>
      <c r="H56" s="129"/>
      <c r="I56" s="129"/>
      <c r="J56" s="129"/>
      <c r="K56" s="129"/>
      <c r="L56" s="129"/>
      <c r="M56" s="129"/>
      <c r="N56" s="129"/>
      <c r="O56" s="129"/>
      <c r="P56" s="129"/>
      <c r="Q56" s="130"/>
      <c r="R56" s="126"/>
    </row>
    <row r="57" spans="1:18" x14ac:dyDescent="0.25">
      <c r="A57" s="126"/>
      <c r="B57" s="128"/>
      <c r="C57" s="129"/>
      <c r="D57" s="129"/>
      <c r="E57" s="129"/>
      <c r="F57" s="129"/>
      <c r="G57" s="129"/>
      <c r="H57" s="129"/>
      <c r="I57" s="129"/>
      <c r="J57" s="129"/>
      <c r="K57" s="129"/>
      <c r="L57" s="129"/>
      <c r="M57" s="129"/>
      <c r="N57" s="129"/>
      <c r="O57" s="129"/>
      <c r="P57" s="129"/>
      <c r="Q57" s="130"/>
      <c r="R57" s="126"/>
    </row>
    <row r="58" spans="1:18" x14ac:dyDescent="0.25">
      <c r="A58" s="126"/>
      <c r="B58" s="128"/>
      <c r="C58" s="129"/>
      <c r="D58" s="129"/>
      <c r="E58" s="129"/>
      <c r="F58" s="129"/>
      <c r="G58" s="129"/>
      <c r="H58" s="129"/>
      <c r="I58" s="129"/>
      <c r="J58" s="129"/>
      <c r="K58" s="129"/>
      <c r="L58" s="129"/>
      <c r="M58" s="129"/>
      <c r="N58" s="129"/>
      <c r="O58" s="129"/>
      <c r="P58" s="129"/>
      <c r="Q58" s="130"/>
      <c r="R58" s="126"/>
    </row>
    <row r="59" spans="1:18" x14ac:dyDescent="0.25">
      <c r="A59" s="126"/>
      <c r="B59" s="128"/>
      <c r="C59" s="129"/>
      <c r="D59" s="129"/>
      <c r="E59" s="129"/>
      <c r="F59" s="129"/>
      <c r="G59" s="129"/>
      <c r="H59" s="129"/>
      <c r="I59" s="129"/>
      <c r="J59" s="129"/>
      <c r="K59" s="129"/>
      <c r="L59" s="129"/>
      <c r="M59" s="129"/>
      <c r="N59" s="129"/>
      <c r="O59" s="129"/>
      <c r="P59" s="129"/>
      <c r="Q59" s="130"/>
      <c r="R59" s="126"/>
    </row>
    <row r="60" spans="1:18" x14ac:dyDescent="0.25">
      <c r="A60" s="126"/>
      <c r="B60" s="128"/>
      <c r="C60" s="129"/>
      <c r="D60" s="129"/>
      <c r="E60" s="129"/>
      <c r="F60" s="129"/>
      <c r="G60" s="129"/>
      <c r="H60" s="129"/>
      <c r="I60" s="129"/>
      <c r="J60" s="129"/>
      <c r="K60" s="129"/>
      <c r="L60" s="129"/>
      <c r="M60" s="129"/>
      <c r="N60" s="129"/>
      <c r="O60" s="129"/>
      <c r="P60" s="129"/>
      <c r="Q60" s="130"/>
      <c r="R60" s="126"/>
    </row>
    <row r="61" spans="1:18" x14ac:dyDescent="0.25">
      <c r="A61" s="126"/>
      <c r="B61" s="128"/>
      <c r="C61" s="129"/>
      <c r="D61" s="129"/>
      <c r="E61" s="129"/>
      <c r="F61" s="129"/>
      <c r="G61" s="129"/>
      <c r="H61" s="129"/>
      <c r="I61" s="129"/>
      <c r="J61" s="129"/>
      <c r="K61" s="129"/>
      <c r="L61" s="129"/>
      <c r="M61" s="129"/>
      <c r="N61" s="129"/>
      <c r="O61" s="129"/>
      <c r="P61" s="129"/>
      <c r="Q61" s="130"/>
      <c r="R61" s="126"/>
    </row>
    <row r="62" spans="1:18" x14ac:dyDescent="0.25">
      <c r="A62" s="126"/>
      <c r="B62" s="128"/>
      <c r="C62" s="129"/>
      <c r="D62" s="129"/>
      <c r="E62" s="129"/>
      <c r="F62" s="129"/>
      <c r="G62" s="129"/>
      <c r="H62" s="129"/>
      <c r="I62" s="129"/>
      <c r="J62" s="129"/>
      <c r="K62" s="129"/>
      <c r="L62" s="129"/>
      <c r="M62" s="129"/>
      <c r="N62" s="129"/>
      <c r="O62" s="129"/>
      <c r="P62" s="129"/>
      <c r="Q62" s="130"/>
      <c r="R62" s="126"/>
    </row>
    <row r="63" spans="1:18" x14ac:dyDescent="0.25">
      <c r="A63" s="126"/>
      <c r="B63" s="128"/>
      <c r="C63" s="129"/>
      <c r="D63" s="129"/>
      <c r="E63" s="129"/>
      <c r="F63" s="129"/>
      <c r="G63" s="129"/>
      <c r="H63" s="129"/>
      <c r="I63" s="129"/>
      <c r="J63" s="129"/>
      <c r="K63" s="129"/>
      <c r="L63" s="129"/>
      <c r="M63" s="129"/>
      <c r="N63" s="129"/>
      <c r="O63" s="129"/>
      <c r="P63" s="129"/>
      <c r="Q63" s="130"/>
      <c r="R63" s="126"/>
    </row>
    <row r="64" spans="1:18" x14ac:dyDescent="0.25">
      <c r="A64" s="126"/>
      <c r="B64" s="128"/>
      <c r="C64" s="129"/>
      <c r="D64" s="129"/>
      <c r="E64" s="129"/>
      <c r="F64" s="129"/>
      <c r="G64" s="129"/>
      <c r="H64" s="129"/>
      <c r="I64" s="129"/>
      <c r="J64" s="129"/>
      <c r="K64" s="129"/>
      <c r="L64" s="129"/>
      <c r="M64" s="129"/>
      <c r="N64" s="129"/>
      <c r="O64" s="129"/>
      <c r="P64" s="129"/>
      <c r="Q64" s="130"/>
      <c r="R64" s="126"/>
    </row>
    <row r="65" spans="1:18" x14ac:dyDescent="0.25">
      <c r="A65" s="126"/>
      <c r="B65" s="128"/>
      <c r="C65" s="129"/>
      <c r="D65" s="129"/>
      <c r="E65" s="129"/>
      <c r="F65" s="129"/>
      <c r="G65" s="129"/>
      <c r="H65" s="129"/>
      <c r="I65" s="129"/>
      <c r="J65" s="129"/>
      <c r="K65" s="129"/>
      <c r="L65" s="129"/>
      <c r="M65" s="129"/>
      <c r="N65" s="129"/>
      <c r="O65" s="129"/>
      <c r="P65" s="129"/>
      <c r="Q65" s="130"/>
      <c r="R65" s="126"/>
    </row>
    <row r="66" spans="1:18" x14ac:dyDescent="0.25">
      <c r="A66" s="126"/>
      <c r="B66" s="128"/>
      <c r="C66" s="129"/>
      <c r="D66" s="129"/>
      <c r="E66" s="129"/>
      <c r="F66" s="129"/>
      <c r="G66" s="129"/>
      <c r="H66" s="129"/>
      <c r="I66" s="129"/>
      <c r="J66" s="129"/>
      <c r="K66" s="129"/>
      <c r="L66" s="129"/>
      <c r="M66" s="129"/>
      <c r="N66" s="129"/>
      <c r="O66" s="129"/>
      <c r="P66" s="129"/>
      <c r="Q66" s="130"/>
      <c r="R66" s="126"/>
    </row>
    <row r="67" spans="1:18" x14ac:dyDescent="0.25">
      <c r="A67" s="126"/>
      <c r="B67" s="128"/>
      <c r="C67" s="129"/>
      <c r="D67" s="129"/>
      <c r="E67" s="129"/>
      <c r="F67" s="129"/>
      <c r="G67" s="129"/>
      <c r="H67" s="129"/>
      <c r="I67" s="129"/>
      <c r="J67" s="129"/>
      <c r="K67" s="129"/>
      <c r="L67" s="129"/>
      <c r="M67" s="129"/>
      <c r="N67" s="129"/>
      <c r="O67" s="129"/>
      <c r="P67" s="129"/>
      <c r="Q67" s="130"/>
      <c r="R67" s="126"/>
    </row>
    <row r="68" spans="1:18" x14ac:dyDescent="0.25">
      <c r="A68" s="126"/>
      <c r="B68" s="128"/>
      <c r="C68" s="129"/>
      <c r="D68" s="129"/>
      <c r="E68" s="129"/>
      <c r="F68" s="129"/>
      <c r="G68" s="129"/>
      <c r="H68" s="129"/>
      <c r="I68" s="129"/>
      <c r="J68" s="129"/>
      <c r="K68" s="129"/>
      <c r="L68" s="129"/>
      <c r="M68" s="129"/>
      <c r="N68" s="129"/>
      <c r="O68" s="129"/>
      <c r="P68" s="129"/>
      <c r="Q68" s="130"/>
      <c r="R68" s="126"/>
    </row>
    <row r="69" spans="1:18" x14ac:dyDescent="0.25">
      <c r="A69" s="126"/>
      <c r="B69" s="128"/>
      <c r="C69" s="129"/>
      <c r="D69" s="129"/>
      <c r="E69" s="129"/>
      <c r="F69" s="129"/>
      <c r="G69" s="129"/>
      <c r="H69" s="129"/>
      <c r="I69" s="129"/>
      <c r="J69" s="129"/>
      <c r="K69" s="129"/>
      <c r="L69" s="129"/>
      <c r="M69" s="129"/>
      <c r="N69" s="129"/>
      <c r="O69" s="129"/>
      <c r="P69" s="129"/>
      <c r="Q69" s="130"/>
      <c r="R69" s="126"/>
    </row>
    <row r="70" spans="1:18" x14ac:dyDescent="0.25">
      <c r="A70" s="126"/>
      <c r="B70" s="128"/>
      <c r="C70" s="129"/>
      <c r="D70" s="129"/>
      <c r="E70" s="129"/>
      <c r="F70" s="129"/>
      <c r="G70" s="129"/>
      <c r="H70" s="129"/>
      <c r="I70" s="129"/>
      <c r="J70" s="129"/>
      <c r="K70" s="129"/>
      <c r="L70" s="129"/>
      <c r="M70" s="129"/>
      <c r="N70" s="129"/>
      <c r="O70" s="129"/>
      <c r="P70" s="129"/>
      <c r="Q70" s="130"/>
      <c r="R70" s="126"/>
    </row>
    <row r="71" spans="1:18" x14ac:dyDescent="0.25">
      <c r="A71" s="126"/>
      <c r="B71" s="128"/>
      <c r="C71" s="129"/>
      <c r="D71" s="129"/>
      <c r="E71" s="129"/>
      <c r="F71" s="129"/>
      <c r="G71" s="129"/>
      <c r="H71" s="129"/>
      <c r="I71" s="129"/>
      <c r="J71" s="129"/>
      <c r="K71" s="129"/>
      <c r="L71" s="129"/>
      <c r="M71" s="129"/>
      <c r="N71" s="129"/>
      <c r="O71" s="129"/>
      <c r="P71" s="129"/>
      <c r="Q71" s="130"/>
      <c r="R71" s="126"/>
    </row>
    <row r="72" spans="1:18" x14ac:dyDescent="0.25">
      <c r="A72" s="126"/>
      <c r="B72" s="128"/>
      <c r="C72" s="129"/>
      <c r="D72" s="129"/>
      <c r="E72" s="129"/>
      <c r="F72" s="129"/>
      <c r="G72" s="129"/>
      <c r="H72" s="129"/>
      <c r="I72" s="129"/>
      <c r="J72" s="129"/>
      <c r="K72" s="129"/>
      <c r="L72" s="129"/>
      <c r="M72" s="129"/>
      <c r="N72" s="129"/>
      <c r="O72" s="129"/>
      <c r="P72" s="129"/>
      <c r="Q72" s="130"/>
      <c r="R72" s="126"/>
    </row>
    <row r="73" spans="1:18" x14ac:dyDescent="0.25">
      <c r="A73" s="126"/>
      <c r="B73" s="128"/>
      <c r="C73" s="129"/>
      <c r="D73" s="129"/>
      <c r="E73" s="129"/>
      <c r="F73" s="129"/>
      <c r="G73" s="129"/>
      <c r="H73" s="129"/>
      <c r="I73" s="129"/>
      <c r="J73" s="129"/>
      <c r="K73" s="129"/>
      <c r="L73" s="129"/>
      <c r="M73" s="129"/>
      <c r="N73" s="129"/>
      <c r="O73" s="129"/>
      <c r="P73" s="129"/>
      <c r="Q73" s="130"/>
      <c r="R73" s="126"/>
    </row>
    <row r="74" spans="1:18" x14ac:dyDescent="0.25">
      <c r="A74" s="126"/>
      <c r="B74" s="128"/>
      <c r="C74" s="129"/>
      <c r="D74" s="129"/>
      <c r="E74" s="129"/>
      <c r="F74" s="129"/>
      <c r="G74" s="129"/>
      <c r="H74" s="129"/>
      <c r="I74" s="129"/>
      <c r="J74" s="129"/>
      <c r="K74" s="129"/>
      <c r="L74" s="129"/>
      <c r="M74" s="129"/>
      <c r="N74" s="129"/>
      <c r="O74" s="129"/>
      <c r="P74" s="129"/>
      <c r="Q74" s="130"/>
      <c r="R74" s="126"/>
    </row>
    <row r="75" spans="1:18" x14ac:dyDescent="0.25">
      <c r="A75" s="126"/>
      <c r="B75" s="128"/>
      <c r="C75" s="129"/>
      <c r="D75" s="129"/>
      <c r="E75" s="129"/>
      <c r="F75" s="129"/>
      <c r="G75" s="129"/>
      <c r="H75" s="129"/>
      <c r="I75" s="129"/>
      <c r="J75" s="129"/>
      <c r="K75" s="129"/>
      <c r="L75" s="129"/>
      <c r="M75" s="129"/>
      <c r="N75" s="129"/>
      <c r="O75" s="129"/>
      <c r="P75" s="129"/>
      <c r="Q75" s="130"/>
      <c r="R75" s="126"/>
    </row>
    <row r="76" spans="1:18" x14ac:dyDescent="0.25">
      <c r="A76" s="126"/>
      <c r="B76" s="128"/>
      <c r="C76" s="129"/>
      <c r="D76" s="129"/>
      <c r="E76" s="129"/>
      <c r="F76" s="129"/>
      <c r="G76" s="129"/>
      <c r="H76" s="129"/>
      <c r="I76" s="129"/>
      <c r="J76" s="129"/>
      <c r="K76" s="129"/>
      <c r="L76" s="129"/>
      <c r="M76" s="129"/>
      <c r="N76" s="129"/>
      <c r="O76" s="129"/>
      <c r="P76" s="129"/>
      <c r="Q76" s="130"/>
      <c r="R76" s="126"/>
    </row>
    <row r="77" spans="1:18" x14ac:dyDescent="0.25">
      <c r="A77" s="126"/>
      <c r="B77" s="128"/>
      <c r="C77" s="129"/>
      <c r="D77" s="129"/>
      <c r="E77" s="129"/>
      <c r="F77" s="129"/>
      <c r="G77" s="129"/>
      <c r="H77" s="129"/>
      <c r="I77" s="129"/>
      <c r="J77" s="129"/>
      <c r="K77" s="129"/>
      <c r="L77" s="129"/>
      <c r="M77" s="129"/>
      <c r="N77" s="129"/>
      <c r="O77" s="129"/>
      <c r="P77" s="129"/>
      <c r="Q77" s="130"/>
      <c r="R77" s="126"/>
    </row>
    <row r="78" spans="1:18" x14ac:dyDescent="0.25">
      <c r="A78" s="126"/>
      <c r="B78" s="128"/>
      <c r="C78" s="129"/>
      <c r="D78" s="129"/>
      <c r="E78" s="129"/>
      <c r="F78" s="129"/>
      <c r="G78" s="129"/>
      <c r="H78" s="129"/>
      <c r="I78" s="129"/>
      <c r="J78" s="129"/>
      <c r="K78" s="129"/>
      <c r="L78" s="129"/>
      <c r="M78" s="129"/>
      <c r="N78" s="129"/>
      <c r="O78" s="129"/>
      <c r="P78" s="129"/>
      <c r="Q78" s="130"/>
      <c r="R78" s="126"/>
    </row>
    <row r="79" spans="1:18" x14ac:dyDescent="0.25">
      <c r="A79" s="126"/>
      <c r="B79" s="128"/>
      <c r="C79" s="129"/>
      <c r="D79" s="129"/>
      <c r="E79" s="129"/>
      <c r="F79" s="129"/>
      <c r="G79" s="129"/>
      <c r="H79" s="129"/>
      <c r="I79" s="129"/>
      <c r="J79" s="129"/>
      <c r="K79" s="129"/>
      <c r="L79" s="129"/>
      <c r="M79" s="129"/>
      <c r="N79" s="129"/>
      <c r="O79" s="129"/>
      <c r="P79" s="129"/>
      <c r="Q79" s="130"/>
      <c r="R79" s="126"/>
    </row>
    <row r="80" spans="1:18" x14ac:dyDescent="0.25">
      <c r="A80" s="126"/>
      <c r="B80" s="128"/>
      <c r="C80" s="129"/>
      <c r="D80" s="129"/>
      <c r="E80" s="129"/>
      <c r="F80" s="129"/>
      <c r="G80" s="129"/>
      <c r="H80" s="129"/>
      <c r="I80" s="129"/>
      <c r="J80" s="129"/>
      <c r="K80" s="129"/>
      <c r="L80" s="129"/>
      <c r="M80" s="129"/>
      <c r="N80" s="129"/>
      <c r="O80" s="129"/>
      <c r="P80" s="129"/>
      <c r="Q80" s="130"/>
      <c r="R80" s="126"/>
    </row>
    <row r="81" spans="1:18" x14ac:dyDescent="0.25">
      <c r="A81" s="126"/>
      <c r="B81" s="131"/>
      <c r="C81" s="132"/>
      <c r="D81" s="132"/>
      <c r="E81" s="132"/>
      <c r="F81" s="132"/>
      <c r="G81" s="132"/>
      <c r="H81" s="132"/>
      <c r="I81" s="132"/>
      <c r="J81" s="132"/>
      <c r="K81" s="132"/>
      <c r="L81" s="132"/>
      <c r="M81" s="132"/>
      <c r="N81" s="132"/>
      <c r="O81" s="132"/>
      <c r="P81" s="132"/>
      <c r="Q81" s="133"/>
      <c r="R81" s="126"/>
    </row>
    <row r="82" spans="1:18" x14ac:dyDescent="0.25">
      <c r="A82" s="126"/>
      <c r="B82" s="126"/>
      <c r="C82" s="126"/>
      <c r="D82" s="126"/>
      <c r="E82" s="126"/>
      <c r="F82" s="126"/>
      <c r="G82" s="126"/>
      <c r="H82" s="126"/>
      <c r="I82" s="126"/>
      <c r="J82" s="126"/>
      <c r="K82" s="126"/>
      <c r="L82" s="126"/>
      <c r="M82" s="126"/>
      <c r="N82" s="126"/>
      <c r="O82" s="126"/>
      <c r="P82" s="126"/>
      <c r="Q82" s="126"/>
      <c r="R82" s="126"/>
    </row>
    <row r="83" spans="1:18" x14ac:dyDescent="0.25">
      <c r="A83" s="126"/>
      <c r="B83" s="126"/>
      <c r="C83" s="126"/>
      <c r="D83" s="126"/>
      <c r="E83" s="126"/>
      <c r="F83" s="126"/>
      <c r="G83" s="126"/>
      <c r="H83" s="126"/>
      <c r="I83" s="126"/>
      <c r="J83" s="126"/>
      <c r="K83" s="126"/>
      <c r="L83" s="126"/>
      <c r="M83" s="126"/>
      <c r="N83" s="126"/>
      <c r="O83" s="126"/>
      <c r="P83" s="126"/>
      <c r="Q83" s="126"/>
      <c r="R83" s="126"/>
    </row>
  </sheetData>
  <sheetProtection algorithmName="SHA-512" hashValue="eCdcKlu8E/RZXP+IPkqfMnAR4Eq7Az12sehnPhm3Yn8UkmrHYfSj3fxUfguNPETLfB7KWURuL5TCK9xy0qjBAQ==" saltValue="YIjYMcDsBTTOnSVrVerwOQ==" spinCount="100000" sheet="1" objects="1" scenarios="1"/>
  <mergeCells count="1">
    <mergeCell ref="F2:I3"/>
  </mergeCells>
  <printOptions horizontalCentered="1"/>
  <pageMargins left="0.23" right="0.21" top="0.75" bottom="0.75" header="0.3" footer="0.3"/>
  <pageSetup scale="40" orientation="landscape" horizontalDpi="1800" verticalDpi="1800" r:id="rId1"/>
  <headerFooter>
    <oddHeader>&amp;C&amp;F
&amp;A&amp;R&amp;D</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0" tint="-0.14999847407452621"/>
  </sheetPr>
  <dimension ref="A1:AJ87"/>
  <sheetViews>
    <sheetView workbookViewId="0"/>
  </sheetViews>
  <sheetFormatPr defaultRowHeight="15" x14ac:dyDescent="0.25"/>
  <cols>
    <col min="1" max="1" width="2.42578125" customWidth="1"/>
    <col min="2" max="2" width="3.42578125" customWidth="1"/>
    <col min="3" max="3" width="33.42578125" customWidth="1"/>
    <col min="4" max="4" width="4.28515625" customWidth="1"/>
    <col min="5" max="5" width="3.85546875" customWidth="1"/>
    <col min="6" max="6" width="3.5703125" customWidth="1"/>
    <col min="7" max="7" width="12.28515625" customWidth="1"/>
    <col min="8" max="8" width="1.42578125" customWidth="1"/>
    <col min="9" max="30" width="12.85546875" customWidth="1"/>
    <col min="31" max="31" width="5.140625" customWidth="1"/>
    <col min="32" max="33" width="20.7109375" customWidth="1"/>
  </cols>
  <sheetData>
    <row r="1" spans="1:31" ht="15" customHeight="1" x14ac:dyDescent="0.2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129"/>
    </row>
    <row r="2" spans="1:31" ht="36.75" customHeight="1" x14ac:dyDescent="0.25">
      <c r="A2" s="42"/>
      <c r="B2" s="45"/>
      <c r="C2" s="179" t="s">
        <v>567</v>
      </c>
      <c r="D2" s="1132" t="str">
        <f>+'eTool Data Analysis'!D3</f>
        <v>New Project Apartments</v>
      </c>
      <c r="E2" s="1132"/>
      <c r="F2" s="1132"/>
      <c r="G2" s="1132"/>
      <c r="H2" s="1132"/>
      <c r="J2" s="1004" t="s">
        <v>568</v>
      </c>
      <c r="K2" s="1003">
        <f>+'eTool Data Analysis'!D4</f>
        <v>12345678</v>
      </c>
      <c r="M2" s="1004" t="s">
        <v>253</v>
      </c>
      <c r="N2" s="1131" t="str">
        <f ca="1">+'Trial Deposits Engine'!H30</f>
        <v>REQUIREMENTS MET</v>
      </c>
      <c r="O2" s="1131"/>
      <c r="P2" s="1131"/>
      <c r="Q2" s="1131"/>
      <c r="R2" s="46"/>
      <c r="S2" s="1127" t="s">
        <v>539</v>
      </c>
      <c r="T2" s="1127"/>
      <c r="U2" s="1127"/>
      <c r="V2" s="1127"/>
      <c r="W2" s="46"/>
      <c r="X2" s="46"/>
      <c r="Y2" s="46"/>
      <c r="Z2" s="46"/>
      <c r="AA2" s="46"/>
      <c r="AB2" s="46"/>
      <c r="AC2" s="47"/>
      <c r="AD2" s="48"/>
      <c r="AE2" s="129"/>
    </row>
    <row r="3" spans="1:31" ht="5.25" customHeight="1" x14ac:dyDescent="0.25">
      <c r="A3" s="42"/>
      <c r="B3" s="48"/>
      <c r="C3" s="90"/>
      <c r="D3" s="1"/>
      <c r="E3" s="1"/>
      <c r="F3" s="1"/>
      <c r="G3" s="1"/>
      <c r="H3" s="1"/>
      <c r="I3" s="1"/>
      <c r="J3" s="1"/>
      <c r="K3" s="1"/>
      <c r="L3" s="1"/>
      <c r="M3" s="1"/>
      <c r="N3" s="1"/>
      <c r="O3" s="1"/>
      <c r="P3" s="1"/>
      <c r="Q3" s="1"/>
      <c r="R3" s="1"/>
      <c r="S3" s="1128"/>
      <c r="T3" s="1128"/>
      <c r="U3" s="1128"/>
      <c r="V3" s="1128"/>
      <c r="W3" s="1"/>
      <c r="X3" s="1"/>
      <c r="Y3" s="1"/>
      <c r="Z3" s="1"/>
      <c r="AA3" s="1"/>
      <c r="AB3" s="1"/>
      <c r="AC3" s="49"/>
      <c r="AD3" s="1"/>
      <c r="AE3" s="129"/>
    </row>
    <row r="4" spans="1:31" x14ac:dyDescent="0.25">
      <c r="A4" s="42"/>
      <c r="B4" s="48"/>
      <c r="C4" s="102"/>
      <c r="D4" s="467"/>
      <c r="E4" s="1"/>
      <c r="F4" s="1"/>
      <c r="G4" s="1"/>
      <c r="H4" s="1"/>
      <c r="I4" s="90" t="str">
        <f>+'Trial Deposits Engine'!H56</f>
        <v>Relative Year</v>
      </c>
      <c r="J4" s="90" t="str">
        <f>+'Trial Deposits Engine'!I56</f>
        <v>Relative Year</v>
      </c>
      <c r="K4" s="90" t="str">
        <f>+'Trial Deposits Engine'!J56</f>
        <v>Relative Year</v>
      </c>
      <c r="L4" s="90" t="str">
        <f>+'Trial Deposits Engine'!K56</f>
        <v>Relative Year</v>
      </c>
      <c r="M4" s="90" t="str">
        <f>+'Trial Deposits Engine'!L56</f>
        <v>Relative Year</v>
      </c>
      <c r="N4" s="90" t="str">
        <f>+'Trial Deposits Engine'!M56</f>
        <v>Relative Year</v>
      </c>
      <c r="O4" s="90" t="str">
        <f>+'Trial Deposits Engine'!N56</f>
        <v>Relative Year</v>
      </c>
      <c r="P4" s="90" t="str">
        <f>+'Trial Deposits Engine'!O56</f>
        <v>Relative Year</v>
      </c>
      <c r="Q4" s="90" t="str">
        <f>+'Trial Deposits Engine'!P56</f>
        <v>Relative Year</v>
      </c>
      <c r="R4" s="90" t="str">
        <f>+'Trial Deposits Engine'!Q56</f>
        <v>Relative Year</v>
      </c>
      <c r="S4" s="272" t="str">
        <f>+'Trial Deposits Engine'!R56</f>
        <v>Relative Year</v>
      </c>
      <c r="T4" s="90" t="str">
        <f>+'Trial Deposits Engine'!S56</f>
        <v>Relative Year</v>
      </c>
      <c r="U4" s="90" t="str">
        <f>+'Trial Deposits Engine'!T56</f>
        <v>Relative Year</v>
      </c>
      <c r="V4" s="90" t="str">
        <f>+'Trial Deposits Engine'!U56</f>
        <v>Relative Year</v>
      </c>
      <c r="W4" s="90" t="str">
        <f>+'Trial Deposits Engine'!V56</f>
        <v>Relative Year</v>
      </c>
      <c r="X4" s="90" t="str">
        <f>+'Trial Deposits Engine'!W56</f>
        <v>Relative Year</v>
      </c>
      <c r="Y4" s="90" t="str">
        <f>+'Trial Deposits Engine'!X56</f>
        <v>Relative Year</v>
      </c>
      <c r="Z4" s="90" t="str">
        <f>+'Trial Deposits Engine'!Y56</f>
        <v>Relative Year</v>
      </c>
      <c r="AA4" s="90" t="str">
        <f>+'Trial Deposits Engine'!Z56</f>
        <v>Relative Year</v>
      </c>
      <c r="AB4" s="90" t="str">
        <f>+'Trial Deposits Engine'!AA56</f>
        <v>Relative Year</v>
      </c>
      <c r="AC4" s="49"/>
      <c r="AD4" s="1"/>
      <c r="AE4" s="129"/>
    </row>
    <row r="5" spans="1:31" x14ac:dyDescent="0.25">
      <c r="A5" s="42"/>
      <c r="B5" s="48"/>
      <c r="C5" s="1" t="str">
        <f>+'Trial Deposits Engine'!C57</f>
        <v>Year of Deposit or Withdraw</v>
      </c>
      <c r="D5" s="1"/>
      <c r="E5" s="1"/>
      <c r="F5" s="1"/>
      <c r="G5" s="1"/>
      <c r="H5" s="1"/>
      <c r="I5" s="189">
        <f>+'Trial Deposits Engine'!H57</f>
        <v>1</v>
      </c>
      <c r="J5" s="189">
        <f>+'Trial Deposits Engine'!I57</f>
        <v>2</v>
      </c>
      <c r="K5" s="189">
        <f>+'Trial Deposits Engine'!J57</f>
        <v>3</v>
      </c>
      <c r="L5" s="189">
        <f>+'Trial Deposits Engine'!K57</f>
        <v>4</v>
      </c>
      <c r="M5" s="189">
        <f>+'Trial Deposits Engine'!L57</f>
        <v>5</v>
      </c>
      <c r="N5" s="189">
        <f>+'Trial Deposits Engine'!M57</f>
        <v>6</v>
      </c>
      <c r="O5" s="189">
        <f>+'Trial Deposits Engine'!N57</f>
        <v>7</v>
      </c>
      <c r="P5" s="189">
        <f>+'Trial Deposits Engine'!O57</f>
        <v>8</v>
      </c>
      <c r="Q5" s="189">
        <f>+'Trial Deposits Engine'!P57</f>
        <v>9</v>
      </c>
      <c r="R5" s="189">
        <f>+'Trial Deposits Engine'!Q57</f>
        <v>10</v>
      </c>
      <c r="S5" s="273">
        <f>+'Trial Deposits Engine'!R57</f>
        <v>11</v>
      </c>
      <c r="T5" s="189">
        <f>+'Trial Deposits Engine'!S57</f>
        <v>12</v>
      </c>
      <c r="U5" s="189">
        <f>+'Trial Deposits Engine'!T57</f>
        <v>13</v>
      </c>
      <c r="V5" s="189">
        <f>+'Trial Deposits Engine'!U57</f>
        <v>14</v>
      </c>
      <c r="W5" s="189">
        <f>+'Trial Deposits Engine'!V57</f>
        <v>15</v>
      </c>
      <c r="X5" s="189">
        <f>+'Trial Deposits Engine'!W57</f>
        <v>16</v>
      </c>
      <c r="Y5" s="189">
        <f>+'Trial Deposits Engine'!X57</f>
        <v>17</v>
      </c>
      <c r="Z5" s="189">
        <f>+'Trial Deposits Engine'!Y57</f>
        <v>18</v>
      </c>
      <c r="AA5" s="189">
        <f>+'Trial Deposits Engine'!Z57</f>
        <v>19</v>
      </c>
      <c r="AB5" s="189">
        <f>+'Trial Deposits Engine'!AA57</f>
        <v>20</v>
      </c>
      <c r="AC5" s="125" t="str">
        <f>+'Trial Deposits Engine'!AB57</f>
        <v>Totals</v>
      </c>
      <c r="AD5" s="1"/>
      <c r="AE5" s="129"/>
    </row>
    <row r="6" spans="1:31" ht="17.25" x14ac:dyDescent="0.4">
      <c r="A6" s="42"/>
      <c r="B6" s="48"/>
      <c r="C6" s="104" t="str">
        <f>+'Trial Deposits Engine'!C59</f>
        <v>Initial Deposit</v>
      </c>
      <c r="D6" s="54"/>
      <c r="E6" s="54"/>
      <c r="F6" s="54"/>
      <c r="G6" s="1"/>
      <c r="H6" s="1"/>
      <c r="I6" s="105">
        <f>+'Trial Deposits Engine'!H59</f>
        <v>200000</v>
      </c>
      <c r="J6" s="100"/>
      <c r="K6" s="100"/>
      <c r="L6" s="100"/>
      <c r="M6" s="100"/>
      <c r="N6" s="100"/>
      <c r="O6" s="100"/>
      <c r="P6" s="100"/>
      <c r="Q6" s="100"/>
      <c r="R6" s="100"/>
      <c r="S6" s="105">
        <f>+'Trial Deposits Engine'!R59</f>
        <v>0</v>
      </c>
      <c r="T6" s="100"/>
      <c r="U6" s="100"/>
      <c r="V6" s="100"/>
      <c r="W6" s="100"/>
      <c r="X6" s="100"/>
      <c r="Y6" s="100"/>
      <c r="Z6" s="100"/>
      <c r="AA6" s="100"/>
      <c r="AB6" s="100"/>
      <c r="AC6" s="111">
        <f>SUM(I6:AB6)</f>
        <v>200000</v>
      </c>
      <c r="AD6" s="1"/>
      <c r="AE6" s="129"/>
    </row>
    <row r="7" spans="1:31" x14ac:dyDescent="0.25">
      <c r="A7" s="42"/>
      <c r="B7" s="48"/>
      <c r="C7" s="107" t="str">
        <f>+'Trial Deposits Engine'!C60</f>
        <v>RfR Beginning Balance</v>
      </c>
      <c r="D7" s="1"/>
      <c r="E7" s="1"/>
      <c r="F7" s="1"/>
      <c r="G7" s="1"/>
      <c r="H7" s="1"/>
      <c r="I7" s="108">
        <f>+'Trial Deposits Engine'!H60</f>
        <v>200000</v>
      </c>
      <c r="J7" s="100">
        <f ca="1">+'Trial Deposits Engine'!I60</f>
        <v>221800</v>
      </c>
      <c r="K7" s="100">
        <f ca="1">+'Trial Deposits Engine'!J60</f>
        <v>230232</v>
      </c>
      <c r="L7" s="100">
        <f ca="1">+'Trial Deposits Engine'!K60</f>
        <v>177387.4</v>
      </c>
      <c r="M7" s="100">
        <f ca="1">+'Trial Deposits Engine'!L60</f>
        <v>152218.12939999998</v>
      </c>
      <c r="N7" s="100">
        <f ca="1">+'Trial Deposits Engine'!M60</f>
        <v>124372.55810899998</v>
      </c>
      <c r="O7" s="100">
        <f ca="1">+'Trial Deposits Engine'!N60</f>
        <v>99256.946383994975</v>
      </c>
      <c r="P7" s="100">
        <f ca="1">+'Trial Deposits Engine'!O60</f>
        <v>102677.81648118209</v>
      </c>
      <c r="Q7" s="100">
        <f ca="1">+'Trial Deposits Engine'!P60</f>
        <v>82734.959947855561</v>
      </c>
      <c r="R7" s="100">
        <f ca="1">+'Trial Deposits Engine'!Q60</f>
        <v>76929.840090918253</v>
      </c>
      <c r="S7" s="274">
        <f ca="1">+'Trial Deposits Engine'!R60</f>
        <v>71501.620551003783</v>
      </c>
      <c r="T7" s="100">
        <f ca="1">+'Trial Deposits Engine'!S60</f>
        <v>-36982.765624834967</v>
      </c>
      <c r="U7" s="100">
        <f ca="1">+'Trial Deposits Engine'!T60</f>
        <v>-141039.95431862085</v>
      </c>
      <c r="V7" s="100">
        <f ca="1">+'Trial Deposits Engine'!U60</f>
        <v>-171835.76678628245</v>
      </c>
      <c r="W7" s="100">
        <f ca="1">+'Trial Deposits Engine'!V60</f>
        <v>-215984.35550329729</v>
      </c>
      <c r="X7" s="100">
        <f ca="1">+'Trial Deposits Engine'!W60</f>
        <v>-307888.67599465244</v>
      </c>
      <c r="Y7" s="100">
        <f ca="1">+'Trial Deposits Engine'!X60</f>
        <v>-295095.48289583466</v>
      </c>
      <c r="Z7" s="100">
        <f ca="1">+'Trial Deposits Engine'!Y60</f>
        <v>-267914.32593504054</v>
      </c>
      <c r="AA7" s="100">
        <f ca="1">+'Trial Deposits Engine'!Z60</f>
        <v>-284015.5458350305</v>
      </c>
      <c r="AB7" s="100">
        <f ca="1">+'Trial Deposits Engine'!AA60</f>
        <v>-292605.2701330203</v>
      </c>
      <c r="AC7" s="106"/>
      <c r="AD7" s="1"/>
      <c r="AE7" s="129"/>
    </row>
    <row r="8" spans="1:31" ht="17.25" x14ac:dyDescent="0.4">
      <c r="A8" s="42"/>
      <c r="B8" s="48"/>
      <c r="C8" s="109" t="str">
        <f>+'Trial Deposits Engine'!C62</f>
        <v>Interest Income on RfR balance</v>
      </c>
      <c r="D8" s="1"/>
      <c r="E8" s="1"/>
      <c r="F8" s="1"/>
      <c r="G8" s="1"/>
      <c r="H8" s="1"/>
      <c r="I8" s="110">
        <f ca="1">+'Trial Deposits Engine'!H62</f>
        <v>2000</v>
      </c>
      <c r="J8" s="110">
        <f ca="1">+'Trial Deposits Engine'!I62</f>
        <v>2218</v>
      </c>
      <c r="K8" s="110">
        <f ca="1">+'Trial Deposits Engine'!J62</f>
        <v>3453.48</v>
      </c>
      <c r="L8" s="110">
        <f ca="1">+'Trial Deposits Engine'!K62</f>
        <v>2660.8109999999997</v>
      </c>
      <c r="M8" s="110">
        <f ca="1">+'Trial Deposits Engine'!L62</f>
        <v>2283.2719409999995</v>
      </c>
      <c r="N8" s="110">
        <f ca="1">+'Trial Deposits Engine'!M62</f>
        <v>1865.5883716349995</v>
      </c>
      <c r="O8" s="110">
        <f ca="1">+'Trial Deposits Engine'!N62</f>
        <v>1488.8541957599246</v>
      </c>
      <c r="P8" s="110">
        <f ca="1">+'Trial Deposits Engine'!O62</f>
        <v>1540.1672472177313</v>
      </c>
      <c r="Q8" s="110">
        <f ca="1">+'Trial Deposits Engine'!P62</f>
        <v>1241.0243992178334</v>
      </c>
      <c r="R8" s="110">
        <f ca="1">+'Trial Deposits Engine'!Q62</f>
        <v>1153.9476013637739</v>
      </c>
      <c r="S8" s="275">
        <f ca="1">+'Trial Deposits Engine'!R62</f>
        <v>1072.5243082650568</v>
      </c>
      <c r="T8" s="110">
        <f ca="1">+'Trial Deposits Engine'!S62</f>
        <v>0</v>
      </c>
      <c r="U8" s="110">
        <f ca="1">+'Trial Deposits Engine'!T62</f>
        <v>0</v>
      </c>
      <c r="V8" s="110">
        <f ca="1">+'Trial Deposits Engine'!U62</f>
        <v>0</v>
      </c>
      <c r="W8" s="110">
        <f ca="1">+'Trial Deposits Engine'!V62</f>
        <v>0</v>
      </c>
      <c r="X8" s="110">
        <f ca="1">+'Trial Deposits Engine'!W62</f>
        <v>0</v>
      </c>
      <c r="Y8" s="110">
        <f ca="1">+'Trial Deposits Engine'!X62</f>
        <v>0</v>
      </c>
      <c r="Z8" s="110">
        <f ca="1">+'Trial Deposits Engine'!Y62</f>
        <v>0</v>
      </c>
      <c r="AA8" s="110">
        <f ca="1">+'Trial Deposits Engine'!Z62</f>
        <v>0</v>
      </c>
      <c r="AB8" s="110">
        <f ca="1">+'Trial Deposits Engine'!AA62</f>
        <v>0</v>
      </c>
      <c r="AC8" s="111">
        <f ca="1">+'Trial Deposits Engine'!AB62</f>
        <v>20977.669064459315</v>
      </c>
      <c r="AD8" s="1"/>
      <c r="AE8" s="129"/>
    </row>
    <row r="9" spans="1:31" x14ac:dyDescent="0.25">
      <c r="A9" s="42"/>
      <c r="B9" s="48"/>
      <c r="C9" s="109" t="str">
        <f>+'Trial Deposits Engine'!C63</f>
        <v>RfR balance before RfR deposit</v>
      </c>
      <c r="D9" s="1"/>
      <c r="E9" s="1"/>
      <c r="F9" s="1"/>
      <c r="G9" s="1"/>
      <c r="H9" s="1"/>
      <c r="I9" s="112">
        <f ca="1">+'Trial Deposits Engine'!H63</f>
        <v>202000</v>
      </c>
      <c r="J9" s="112">
        <f ca="1">+'Trial Deposits Engine'!I63</f>
        <v>224018</v>
      </c>
      <c r="K9" s="112">
        <f ca="1">+'Trial Deposits Engine'!J63</f>
        <v>233685.48</v>
      </c>
      <c r="L9" s="112">
        <f ca="1">+'Trial Deposits Engine'!K63</f>
        <v>180048.21099999998</v>
      </c>
      <c r="M9" s="112">
        <f ca="1">+'Trial Deposits Engine'!L63</f>
        <v>154501.40134099999</v>
      </c>
      <c r="N9" s="112">
        <f ca="1">+'Trial Deposits Engine'!M63</f>
        <v>126238.14648063497</v>
      </c>
      <c r="O9" s="112">
        <f ca="1">+'Trial Deposits Engine'!N63</f>
        <v>100745.8005797549</v>
      </c>
      <c r="P9" s="112">
        <f ca="1">+'Trial Deposits Engine'!O63</f>
        <v>104217.98372839982</v>
      </c>
      <c r="Q9" s="112">
        <f ca="1">+'Trial Deposits Engine'!P63</f>
        <v>83975.98434707339</v>
      </c>
      <c r="R9" s="112">
        <f ca="1">+'Trial Deposits Engine'!Q63</f>
        <v>78083.787692282029</v>
      </c>
      <c r="S9" s="276">
        <f ca="1">+'Trial Deposits Engine'!R63</f>
        <v>72574.144859268839</v>
      </c>
      <c r="T9" s="112">
        <f ca="1">+'Trial Deposits Engine'!S63</f>
        <v>-36982.765624834967</v>
      </c>
      <c r="U9" s="112">
        <f ca="1">+'Trial Deposits Engine'!T63</f>
        <v>-141039.95431862085</v>
      </c>
      <c r="V9" s="112">
        <f ca="1">+'Trial Deposits Engine'!U63</f>
        <v>-171835.76678628245</v>
      </c>
      <c r="W9" s="112">
        <f ca="1">+'Trial Deposits Engine'!V63</f>
        <v>-215984.35550329729</v>
      </c>
      <c r="X9" s="112">
        <f ca="1">+'Trial Deposits Engine'!W63</f>
        <v>-307888.67599465244</v>
      </c>
      <c r="Y9" s="112">
        <f ca="1">+'Trial Deposits Engine'!X63</f>
        <v>-295095.48289583466</v>
      </c>
      <c r="Z9" s="112">
        <f ca="1">+'Trial Deposits Engine'!Y63</f>
        <v>-267914.32593504054</v>
      </c>
      <c r="AA9" s="112">
        <f ca="1">+'Trial Deposits Engine'!Z63</f>
        <v>-284015.5458350305</v>
      </c>
      <c r="AB9" s="112">
        <f ca="1">+'Trial Deposits Engine'!AA63</f>
        <v>-292605.2701330203</v>
      </c>
      <c r="AC9" s="106"/>
      <c r="AD9" s="1"/>
      <c r="AE9" s="129"/>
    </row>
    <row r="10" spans="1:31" ht="17.25" x14ac:dyDescent="0.4">
      <c r="A10" s="42"/>
      <c r="B10" s="48"/>
      <c r="C10" s="1" t="str">
        <f>+'Trial Deposits Engine'!C69</f>
        <v>RfR Deposit (as inflated)</v>
      </c>
      <c r="D10" s="1"/>
      <c r="E10" s="1"/>
      <c r="F10" s="1"/>
      <c r="G10" s="1"/>
      <c r="H10" s="1"/>
      <c r="I10" s="113">
        <f>+'Trial Deposits Engine'!H69+'Trial Deposits Engine'!H64</f>
        <v>19800</v>
      </c>
      <c r="J10" s="113">
        <f>+'Trial Deposits Engine'!I69+'Trial Deposits Engine'!I64</f>
        <v>20196</v>
      </c>
      <c r="K10" s="113">
        <f>+'Trial Deposits Engine'!J69+'Trial Deposits Engine'!J64</f>
        <v>20599.919999999998</v>
      </c>
      <c r="L10" s="113">
        <f>+'Trial Deposits Engine'!K69+'Trial Deposits Engine'!K64</f>
        <v>21011.918399999999</v>
      </c>
      <c r="M10" s="113">
        <f>+'Trial Deposits Engine'!L69+'Trial Deposits Engine'!L64</f>
        <v>21432.156768000001</v>
      </c>
      <c r="N10" s="113">
        <f>+'Trial Deposits Engine'!M69+'Trial Deposits Engine'!M64</f>
        <v>21860.799903359999</v>
      </c>
      <c r="O10" s="113">
        <f>+'Trial Deposits Engine'!N69+'Trial Deposits Engine'!N64</f>
        <v>22298.015901427199</v>
      </c>
      <c r="P10" s="113">
        <f>+'Trial Deposits Engine'!O69+'Trial Deposits Engine'!O64</f>
        <v>22743.976219455744</v>
      </c>
      <c r="Q10" s="113">
        <f>+'Trial Deposits Engine'!P69+'Trial Deposits Engine'!P64</f>
        <v>23198.855743844862</v>
      </c>
      <c r="R10" s="113">
        <f>+'Trial Deposits Engine'!Q69+'Trial Deposits Engine'!Q64</f>
        <v>23662.832858721758</v>
      </c>
      <c r="S10" s="113">
        <f>+'Trial Deposits Engine'!R69+'Trial Deposits Engine'!R64</f>
        <v>24136.089515896194</v>
      </c>
      <c r="T10" s="113">
        <f>+'Trial Deposits Engine'!S69+'Trial Deposits Engine'!S64</f>
        <v>24618.81130621412</v>
      </c>
      <c r="U10" s="113">
        <f>+'Trial Deposits Engine'!T69+'Trial Deposits Engine'!T64</f>
        <v>25111.187532338401</v>
      </c>
      <c r="V10" s="113">
        <f>+'Trial Deposits Engine'!U69+'Trial Deposits Engine'!U64</f>
        <v>25613.411282985166</v>
      </c>
      <c r="W10" s="113">
        <f>+'Trial Deposits Engine'!V69+'Trial Deposits Engine'!V64</f>
        <v>26125.679508644873</v>
      </c>
      <c r="X10" s="113">
        <f>+'Trial Deposits Engine'!W69+'Trial Deposits Engine'!W64</f>
        <v>26648.19309881777</v>
      </c>
      <c r="Y10" s="113">
        <f>+'Trial Deposits Engine'!X69+'Trial Deposits Engine'!X64</f>
        <v>27181.156960794127</v>
      </c>
      <c r="Z10" s="113">
        <f>+'Trial Deposits Engine'!Y69+'Trial Deposits Engine'!Y64</f>
        <v>27724.780100010012</v>
      </c>
      <c r="AA10" s="113">
        <f>+'Trial Deposits Engine'!Z69+'Trial Deposits Engine'!Z64</f>
        <v>28279.275702010214</v>
      </c>
      <c r="AB10" s="113">
        <f>+'Trial Deposits Engine'!AA69+'Trial Deposits Engine'!AA64</f>
        <v>28844.861216050416</v>
      </c>
      <c r="AC10" s="113">
        <f>+'Trial Deposits Engine'!AB69+'Trial Deposits Engine'!AB64</f>
        <v>481087.92201857083</v>
      </c>
      <c r="AD10" s="100">
        <f ca="1">+AC6+AC8+AC10</f>
        <v>702065.5910830301</v>
      </c>
      <c r="AE10" s="129"/>
    </row>
    <row r="11" spans="1:31" ht="17.25" x14ac:dyDescent="0.4">
      <c r="A11" s="42"/>
      <c r="B11" s="48"/>
      <c r="C11" s="1" t="str">
        <f>+'Trial Deposits Engine'!C70</f>
        <v>RfR balance Available for Needs</v>
      </c>
      <c r="D11" s="1"/>
      <c r="E11" s="1"/>
      <c r="F11" s="1"/>
      <c r="G11" s="1"/>
      <c r="H11" s="1"/>
      <c r="I11" s="115">
        <f ca="1">+'Trial Deposits Engine'!H70</f>
        <v>221800</v>
      </c>
      <c r="J11" s="115">
        <f ca="1">+'Trial Deposits Engine'!I70</f>
        <v>244214</v>
      </c>
      <c r="K11" s="115">
        <f ca="1">+'Trial Deposits Engine'!J70</f>
        <v>254285.4</v>
      </c>
      <c r="L11" s="115">
        <f ca="1">+'Trial Deposits Engine'!K70</f>
        <v>201060.12939999998</v>
      </c>
      <c r="M11" s="115">
        <f ca="1">+'Trial Deposits Engine'!L70</f>
        <v>175933.55810899998</v>
      </c>
      <c r="N11" s="115">
        <f ca="1">+'Trial Deposits Engine'!M70</f>
        <v>148098.94638399497</v>
      </c>
      <c r="O11" s="115">
        <f ca="1">+'Trial Deposits Engine'!N70</f>
        <v>123043.81648118209</v>
      </c>
      <c r="P11" s="115">
        <f ca="1">+'Trial Deposits Engine'!O70</f>
        <v>126961.95994785556</v>
      </c>
      <c r="Q11" s="115">
        <f ca="1">+'Trial Deposits Engine'!P70</f>
        <v>107174.84009091825</v>
      </c>
      <c r="R11" s="115">
        <f ca="1">+'Trial Deposits Engine'!Q70</f>
        <v>101746.62055100378</v>
      </c>
      <c r="S11" s="278">
        <f ca="1">+'Trial Deposits Engine'!R70</f>
        <v>96710.234375165033</v>
      </c>
      <c r="T11" s="115">
        <f ca="1">+'Trial Deposits Engine'!S70</f>
        <v>-12363.954318620847</v>
      </c>
      <c r="U11" s="115">
        <f ca="1">+'Trial Deposits Engine'!T70</f>
        <v>-115928.76678628245</v>
      </c>
      <c r="V11" s="115">
        <f ca="1">+'Trial Deposits Engine'!U70</f>
        <v>-146222.35550329729</v>
      </c>
      <c r="W11" s="115">
        <f ca="1">+'Trial Deposits Engine'!V70</f>
        <v>-189858.67599465241</v>
      </c>
      <c r="X11" s="115">
        <f ca="1">+'Trial Deposits Engine'!W70</f>
        <v>-281240.48289583466</v>
      </c>
      <c r="Y11" s="115">
        <f ca="1">+'Trial Deposits Engine'!X70</f>
        <v>-267914.32593504054</v>
      </c>
      <c r="Z11" s="115">
        <f ca="1">+'Trial Deposits Engine'!Y70</f>
        <v>-240189.54583503053</v>
      </c>
      <c r="AA11" s="115">
        <f ca="1">+'Trial Deposits Engine'!Z70</f>
        <v>-255736.2701330203</v>
      </c>
      <c r="AB11" s="115">
        <f ca="1">+'Trial Deposits Engine'!AA70</f>
        <v>-263760.4089169699</v>
      </c>
      <c r="AC11" s="114"/>
      <c r="AD11" s="1"/>
      <c r="AE11" s="129"/>
    </row>
    <row r="12" spans="1:31" ht="17.25" x14ac:dyDescent="0.4">
      <c r="A12" s="42"/>
      <c r="B12" s="48"/>
      <c r="C12" s="109" t="str">
        <f>+'Trial Deposits Engine'!C78</f>
        <v>Inflated Needs (Withdrawal)</v>
      </c>
      <c r="D12" s="1"/>
      <c r="E12" s="1"/>
      <c r="F12" s="1"/>
      <c r="G12" s="1"/>
      <c r="H12" s="1"/>
      <c r="I12" s="113">
        <f>+'Trial Deposits Engine'!H78</f>
        <v>0</v>
      </c>
      <c r="J12" s="113">
        <f>+'Trial Deposits Engine'!I78</f>
        <v>-13982</v>
      </c>
      <c r="K12" s="113">
        <f>+'Trial Deposits Engine'!J78</f>
        <v>-76898</v>
      </c>
      <c r="L12" s="113">
        <f>+'Trial Deposits Engine'!K78</f>
        <v>-48842</v>
      </c>
      <c r="M12" s="113">
        <f>+'Trial Deposits Engine'!L78</f>
        <v>-51561</v>
      </c>
      <c r="N12" s="113">
        <f>+'Trial Deposits Engine'!M78</f>
        <v>-48842</v>
      </c>
      <c r="O12" s="113">
        <f>+'Trial Deposits Engine'!N78</f>
        <v>-20366</v>
      </c>
      <c r="P12" s="113">
        <f>+'Trial Deposits Engine'!O78</f>
        <v>-44227</v>
      </c>
      <c r="Q12" s="113">
        <f>+'Trial Deposits Engine'!P78</f>
        <v>-30245</v>
      </c>
      <c r="R12" s="113">
        <f>+'Trial Deposits Engine'!Q78</f>
        <v>-30245</v>
      </c>
      <c r="S12" s="277">
        <f>+'Trial Deposits Engine'!R78</f>
        <v>-133693</v>
      </c>
      <c r="T12" s="113">
        <f>+'Trial Deposits Engine'!S78</f>
        <v>-128676</v>
      </c>
      <c r="U12" s="113">
        <f>+'Trial Deposits Engine'!T78</f>
        <v>-55907</v>
      </c>
      <c r="V12" s="113">
        <f>+'Trial Deposits Engine'!U78</f>
        <v>-69762</v>
      </c>
      <c r="W12" s="113">
        <f>+'Trial Deposits Engine'!V78</f>
        <v>-118030</v>
      </c>
      <c r="X12" s="113">
        <f>+'Trial Deposits Engine'!W78</f>
        <v>-13855</v>
      </c>
      <c r="Y12" s="113">
        <f>+'Trial Deposits Engine'!X78</f>
        <v>0</v>
      </c>
      <c r="Z12" s="113">
        <f>+'Trial Deposits Engine'!Y78</f>
        <v>-43826</v>
      </c>
      <c r="AA12" s="113">
        <f>+'Trial Deposits Engine'!Z78</f>
        <v>-36869</v>
      </c>
      <c r="AB12" s="113">
        <f>+'Trial Deposits Engine'!AA78</f>
        <v>-296486</v>
      </c>
      <c r="AC12" s="114">
        <f>+'Trial Deposits Engine'!AB78</f>
        <v>-1262312</v>
      </c>
      <c r="AD12" s="1"/>
      <c r="AE12" s="129"/>
    </row>
    <row r="13" spans="1:31" ht="17.25" x14ac:dyDescent="0.4">
      <c r="A13" s="42"/>
      <c r="B13" s="48"/>
      <c r="C13" s="109" t="str">
        <f>+'Trial Deposits Engine'!C79</f>
        <v>Ending RfR Balance</v>
      </c>
      <c r="D13" s="1"/>
      <c r="E13" s="1"/>
      <c r="F13" s="1"/>
      <c r="G13" s="1"/>
      <c r="H13" s="1"/>
      <c r="I13" s="101">
        <f ca="1">+'Trial Deposits Engine'!H79</f>
        <v>221800</v>
      </c>
      <c r="J13" s="101">
        <f ca="1">+'Trial Deposits Engine'!I79</f>
        <v>230232</v>
      </c>
      <c r="K13" s="101">
        <f ca="1">+'Trial Deposits Engine'!J79</f>
        <v>177387.4</v>
      </c>
      <c r="L13" s="101">
        <f ca="1">+'Trial Deposits Engine'!K79</f>
        <v>152218.12939999998</v>
      </c>
      <c r="M13" s="101">
        <f ca="1">+'Trial Deposits Engine'!L79</f>
        <v>124372.55810899998</v>
      </c>
      <c r="N13" s="101">
        <f ca="1">+'Trial Deposits Engine'!M79</f>
        <v>99256.946383994975</v>
      </c>
      <c r="O13" s="101">
        <f ca="1">+'Trial Deposits Engine'!N79</f>
        <v>102677.81648118209</v>
      </c>
      <c r="P13" s="101">
        <f ca="1">+'Trial Deposits Engine'!O79</f>
        <v>82734.959947855561</v>
      </c>
      <c r="Q13" s="101">
        <f ca="1">+'Trial Deposits Engine'!P79</f>
        <v>76929.840090918253</v>
      </c>
      <c r="R13" s="101">
        <f ca="1">+'Trial Deposits Engine'!Q79</f>
        <v>71501.620551003783</v>
      </c>
      <c r="S13" s="279">
        <f ca="1">+'Trial Deposits Engine'!R79</f>
        <v>-36982.765624834967</v>
      </c>
      <c r="T13" s="101">
        <f ca="1">+'Trial Deposits Engine'!S79</f>
        <v>-141039.95431862085</v>
      </c>
      <c r="U13" s="101">
        <f ca="1">+'Trial Deposits Engine'!T79</f>
        <v>-171835.76678628245</v>
      </c>
      <c r="V13" s="101">
        <f ca="1">+'Trial Deposits Engine'!U79</f>
        <v>-215984.35550329729</v>
      </c>
      <c r="W13" s="101">
        <f ca="1">+'Trial Deposits Engine'!V79</f>
        <v>-307888.67599465244</v>
      </c>
      <c r="X13" s="101">
        <f ca="1">+'Trial Deposits Engine'!W79</f>
        <v>-295095.48289583466</v>
      </c>
      <c r="Y13" s="101">
        <f ca="1">+'Trial Deposits Engine'!X79</f>
        <v>-267914.32593504054</v>
      </c>
      <c r="Z13" s="101">
        <f ca="1">+'Trial Deposits Engine'!Y79</f>
        <v>-284015.5458350305</v>
      </c>
      <c r="AA13" s="101">
        <f ca="1">+'Trial Deposits Engine'!Z79</f>
        <v>-292605.2701330203</v>
      </c>
      <c r="AB13" s="101">
        <f ca="1">+'Trial Deposits Engine'!AA79</f>
        <v>-560246.4089169699</v>
      </c>
      <c r="AC13" s="114"/>
      <c r="AD13" s="1"/>
      <c r="AE13" s="129"/>
    </row>
    <row r="14" spans="1:31" ht="21" customHeight="1" x14ac:dyDescent="0.25">
      <c r="A14" s="42"/>
      <c r="B14" s="45"/>
      <c r="C14" s="295" t="str">
        <f>+'Trial Deposits Engine'!C97</f>
        <v>Min. Balance/Mitigation Analysis Years 1-10,11-end of Est. Per.</v>
      </c>
      <c r="D14" s="296"/>
      <c r="E14" s="46"/>
      <c r="F14" s="297"/>
      <c r="G14" s="297"/>
      <c r="H14" s="297"/>
      <c r="I14" s="298"/>
      <c r="J14" s="298"/>
      <c r="K14" s="298"/>
      <c r="L14" s="298"/>
      <c r="M14" s="298"/>
      <c r="N14" s="298"/>
      <c r="O14" s="298"/>
      <c r="P14" s="298"/>
      <c r="Q14" s="298"/>
      <c r="R14" s="298"/>
      <c r="S14" s="299"/>
      <c r="T14" s="298"/>
      <c r="U14" s="298"/>
      <c r="V14" s="298"/>
      <c r="W14" s="298"/>
      <c r="X14" s="298"/>
      <c r="Y14" s="298"/>
      <c r="Z14" s="298"/>
      <c r="AA14" s="298"/>
      <c r="AB14" s="298"/>
      <c r="AC14" s="300"/>
      <c r="AD14" s="1"/>
      <c r="AE14" s="129"/>
    </row>
    <row r="15" spans="1:31" x14ac:dyDescent="0.25">
      <c r="A15" s="42"/>
      <c r="B15" s="48"/>
      <c r="C15" s="291" t="s">
        <v>254</v>
      </c>
      <c r="D15" s="292"/>
      <c r="E15" s="292"/>
      <c r="F15" s="293"/>
      <c r="G15" s="294"/>
      <c r="H15" s="86"/>
      <c r="I15" s="269">
        <f>+'Trial Deposits Engine'!H102</f>
        <v>-50151</v>
      </c>
      <c r="J15" s="269">
        <f ca="1">+'Trial Deposits Engine'!I102</f>
        <v>-51154.020000000004</v>
      </c>
      <c r="K15" s="269">
        <f ca="1">+'Trial Deposits Engine'!J102</f>
        <v>-52177.100400000003</v>
      </c>
      <c r="L15" s="269">
        <f ca="1">+'Trial Deposits Engine'!K102</f>
        <v>-53220.642408</v>
      </c>
      <c r="M15" s="269">
        <f ca="1">+'Trial Deposits Engine'!L102</f>
        <v>-54285.055256159998</v>
      </c>
      <c r="N15" s="269">
        <f ca="1">+'Trial Deposits Engine'!M102</f>
        <v>-55370.756361283202</v>
      </c>
      <c r="O15" s="269">
        <f ca="1">+'Trial Deposits Engine'!N102</f>
        <v>-56478.171488508866</v>
      </c>
      <c r="P15" s="269">
        <f ca="1">+'Trial Deposits Engine'!O102</f>
        <v>-57607.734918279042</v>
      </c>
      <c r="Q15" s="269">
        <f ca="1">+'Trial Deposits Engine'!P102</f>
        <v>-58759.889616644628</v>
      </c>
      <c r="R15" s="269">
        <f ca="1">+'Trial Deposits Engine'!Q102</f>
        <v>-59935.087408977524</v>
      </c>
      <c r="S15" s="280">
        <f ca="1">+'Trial Deposits Engine'!R102</f>
        <v>-61133.789157157073</v>
      </c>
      <c r="T15" s="269">
        <f ca="1">+'Trial Deposits Engine'!S102</f>
        <v>-62356.464940300211</v>
      </c>
      <c r="U15" s="269">
        <f ca="1">+'Trial Deposits Engine'!T102</f>
        <v>-63603.59423910622</v>
      </c>
      <c r="V15" s="269">
        <f ca="1">+'Trial Deposits Engine'!U102</f>
        <v>-64875.666123888339</v>
      </c>
      <c r="W15" s="269">
        <f ca="1">+'Trial Deposits Engine'!V102</f>
        <v>-66173.179446366106</v>
      </c>
      <c r="X15" s="269">
        <f ca="1">+'Trial Deposits Engine'!W102</f>
        <v>-67496.64303529344</v>
      </c>
      <c r="Y15" s="269">
        <f ca="1">+'Trial Deposits Engine'!X102</f>
        <v>-68846.575895999311</v>
      </c>
      <c r="Z15" s="269">
        <f ca="1">+'Trial Deposits Engine'!Y102</f>
        <v>-70223.507413919302</v>
      </c>
      <c r="AA15" s="269">
        <f ca="1">+'Trial Deposits Engine'!Z102</f>
        <v>-71627.977562197688</v>
      </c>
      <c r="AB15" s="269">
        <f ca="1">+'Trial Deposits Engine'!AA102</f>
        <v>-73060.537113441635</v>
      </c>
      <c r="AC15" s="124"/>
      <c r="AD15" s="1"/>
      <c r="AE15" s="129"/>
    </row>
    <row r="16" spans="1:31" ht="15.75" thickBot="1" x14ac:dyDescent="0.3">
      <c r="A16" s="42"/>
      <c r="C16" s="291"/>
      <c r="D16" s="292"/>
      <c r="E16" s="292"/>
      <c r="F16" s="293"/>
      <c r="G16" s="306" t="s">
        <v>255</v>
      </c>
      <c r="H16" s="86"/>
      <c r="I16" s="308">
        <f ca="1">+'Trial Deposits Engine'!H103</f>
        <v>171649</v>
      </c>
      <c r="J16" s="308">
        <f ca="1">+'Trial Deposits Engine'!I103</f>
        <v>179077.97999999998</v>
      </c>
      <c r="K16" s="308">
        <f ca="1">+'Trial Deposits Engine'!J103</f>
        <v>125210.2996</v>
      </c>
      <c r="L16" s="308">
        <f ca="1">+'Trial Deposits Engine'!K103</f>
        <v>98997.486991999976</v>
      </c>
      <c r="M16" s="308">
        <f ca="1">+'Trial Deposits Engine'!L103</f>
        <v>70087.502852839971</v>
      </c>
      <c r="N16" s="308">
        <f ca="1">+'Trial Deposits Engine'!M103</f>
        <v>43886.190022711773</v>
      </c>
      <c r="O16" s="308">
        <f ca="1">+'Trial Deposits Engine'!N103</f>
        <v>46199.644992673224</v>
      </c>
      <c r="P16" s="308">
        <f ca="1">+'Trial Deposits Engine'!O103</f>
        <v>25127.225029576519</v>
      </c>
      <c r="Q16" s="308">
        <f ca="1">+'Trial Deposits Engine'!P103</f>
        <v>18169.950474273624</v>
      </c>
      <c r="R16" s="309">
        <f ca="1">+'Trial Deposits Engine'!Q103</f>
        <v>11566.533142026259</v>
      </c>
      <c r="S16" s="305">
        <f ca="1">+'Trial Deposits Engine'!R103</f>
        <v>-98116.554781992047</v>
      </c>
      <c r="T16" s="305">
        <f ca="1">+'Trial Deposits Engine'!S103</f>
        <v>-203396.41925892106</v>
      </c>
      <c r="U16" s="305">
        <f ca="1">+'Trial Deposits Engine'!T103</f>
        <v>-235439.36102538867</v>
      </c>
      <c r="V16" s="305">
        <f ca="1">+'Trial Deposits Engine'!U103</f>
        <v>-280860.02162718563</v>
      </c>
      <c r="W16" s="305">
        <f ca="1">+'Trial Deposits Engine'!V103</f>
        <v>-374061.85544101853</v>
      </c>
      <c r="X16" s="305">
        <f ca="1">+'Trial Deposits Engine'!W103</f>
        <v>-362592.1259311281</v>
      </c>
      <c r="Y16" s="305">
        <f ca="1">+'Trial Deposits Engine'!X103</f>
        <v>-336760.90183103987</v>
      </c>
      <c r="Z16" s="305">
        <f ca="1">+'Trial Deposits Engine'!Y103</f>
        <v>-354239.05324894981</v>
      </c>
      <c r="AA16" s="305">
        <f ca="1">+'Trial Deposits Engine'!Z103</f>
        <v>-364233.24769521796</v>
      </c>
      <c r="AB16" s="305">
        <f ca="1">+'Trial Deposits Engine'!AA103</f>
        <v>-633306.94603041152</v>
      </c>
      <c r="AC16" s="124"/>
      <c r="AD16" s="1"/>
      <c r="AE16" s="129"/>
    </row>
    <row r="17" spans="1:36" ht="27" customHeight="1" thickTop="1" x14ac:dyDescent="0.25">
      <c r="A17" s="42"/>
      <c r="B17" s="48"/>
      <c r="C17" s="1129" t="str">
        <f>+'Trial Deposits Engine'!C108</f>
        <v>If Min. Balance is not met, does principal amortization calculated below mitigate it?</v>
      </c>
      <c r="D17" s="1129"/>
      <c r="E17" s="1129"/>
      <c r="F17" s="1129"/>
      <c r="G17" s="307" t="str">
        <f ca="1">+'Trial Deposits Engine'!D109</f>
        <v>PASS</v>
      </c>
      <c r="H17" s="86"/>
      <c r="I17" s="310"/>
      <c r="J17" s="311"/>
      <c r="K17" s="311"/>
      <c r="L17" s="318" t="str">
        <f>+'Trial Deposits Engine'!C106</f>
        <v>Minimum Balance Met-Yrs 1-10</v>
      </c>
      <c r="M17" s="324" t="str">
        <f ca="1">+'Trial Deposits Engine'!D106</f>
        <v>PASS</v>
      </c>
      <c r="N17" s="319">
        <f ca="1">+'Trial Deposits Engine'!F106</f>
        <v>0</v>
      </c>
      <c r="O17" s="320" t="str">
        <f>+'Trial Deposits Engine'!G106</f>
        <v>Violations</v>
      </c>
      <c r="P17" s="311"/>
      <c r="Q17" s="311"/>
      <c r="R17" s="313"/>
      <c r="S17" s="310"/>
      <c r="T17" s="311"/>
      <c r="U17" s="311"/>
      <c r="V17" s="312"/>
      <c r="W17" s="317" t="str">
        <f>+'Trial Deposits Engine'!C107</f>
        <v>Minimum Balance Met-Yrs. 11-end of Est. Per.?</v>
      </c>
      <c r="X17" s="324" t="str">
        <f ca="1">+'Trial Deposits Engine'!D107</f>
        <v>FAIL</v>
      </c>
      <c r="Y17" s="321">
        <f ca="1">+'Trial Deposits Engine'!F107</f>
        <v>10</v>
      </c>
      <c r="Z17" s="322" t="str">
        <f>+'Trial Deposits Engine'!G107</f>
        <v>Violations</v>
      </c>
      <c r="AA17" s="311"/>
      <c r="AB17" s="313"/>
      <c r="AC17" s="124"/>
      <c r="AD17" s="1"/>
      <c r="AE17" s="129"/>
    </row>
    <row r="18" spans="1:36" ht="27" customHeight="1" thickBot="1" x14ac:dyDescent="0.3">
      <c r="A18" s="42"/>
      <c r="B18" s="48"/>
      <c r="D18" s="323"/>
      <c r="E18" s="323"/>
      <c r="F18" s="323"/>
      <c r="G18" s="325" t="s">
        <v>256</v>
      </c>
      <c r="H18" s="87"/>
      <c r="I18" s="314" t="str">
        <f ca="1">+'Trial Deposits Engine'!H107</f>
        <v>OK</v>
      </c>
      <c r="J18" s="315" t="str">
        <f ca="1">+'Trial Deposits Engine'!I107</f>
        <v>OK</v>
      </c>
      <c r="K18" s="315" t="str">
        <f ca="1">+'Trial Deposits Engine'!J107</f>
        <v>OK</v>
      </c>
      <c r="L18" s="315" t="str">
        <f ca="1">+'Trial Deposits Engine'!K107</f>
        <v>OK</v>
      </c>
      <c r="M18" s="315" t="str">
        <f ca="1">+'Trial Deposits Engine'!L107</f>
        <v>OK</v>
      </c>
      <c r="N18" s="315" t="str">
        <f ca="1">+'Trial Deposits Engine'!M107</f>
        <v>OK</v>
      </c>
      <c r="O18" s="315" t="str">
        <f ca="1">+'Trial Deposits Engine'!N107</f>
        <v>OK</v>
      </c>
      <c r="P18" s="315" t="str">
        <f ca="1">+'Trial Deposits Engine'!O107</f>
        <v>OK</v>
      </c>
      <c r="Q18" s="315" t="str">
        <f ca="1">+'Trial Deposits Engine'!P107</f>
        <v>OK</v>
      </c>
      <c r="R18" s="316" t="str">
        <f ca="1">+'Trial Deposits Engine'!Q107</f>
        <v>OK</v>
      </c>
      <c r="S18" s="314" t="str">
        <f ca="1">+'Trial Deposits Engine'!R107</f>
        <v>Not OK</v>
      </c>
      <c r="T18" s="315" t="str">
        <f ca="1">+'Trial Deposits Engine'!S107</f>
        <v>Not OK</v>
      </c>
      <c r="U18" s="315" t="str">
        <f ca="1">+'Trial Deposits Engine'!T107</f>
        <v>Not OK</v>
      </c>
      <c r="V18" s="315" t="str">
        <f ca="1">+'Trial Deposits Engine'!U107</f>
        <v>Not OK</v>
      </c>
      <c r="W18" s="315" t="str">
        <f ca="1">+'Trial Deposits Engine'!V107</f>
        <v>Not OK</v>
      </c>
      <c r="X18" s="315" t="str">
        <f ca="1">+'Trial Deposits Engine'!W107</f>
        <v>Not OK</v>
      </c>
      <c r="Y18" s="315" t="str">
        <f ca="1">+'Trial Deposits Engine'!X107</f>
        <v>Not OK</v>
      </c>
      <c r="Z18" s="315" t="str">
        <f ca="1">+'Trial Deposits Engine'!Y107</f>
        <v>Not OK</v>
      </c>
      <c r="AA18" s="315" t="str">
        <f ca="1">+'Trial Deposits Engine'!Z107</f>
        <v>Not OK</v>
      </c>
      <c r="AB18" s="316" t="str">
        <f ca="1">+'Trial Deposits Engine'!AA107</f>
        <v>Not OK</v>
      </c>
      <c r="AC18" s="124"/>
      <c r="AD18" s="1"/>
      <c r="AE18" s="129"/>
    </row>
    <row r="19" spans="1:36" ht="26.25" customHeight="1" x14ac:dyDescent="0.25">
      <c r="A19" s="42"/>
      <c r="B19" s="48"/>
      <c r="C19" s="1130" t="s">
        <v>257</v>
      </c>
      <c r="D19" s="1130"/>
      <c r="E19" s="1130"/>
      <c r="F19" s="1130"/>
      <c r="G19" s="1130"/>
      <c r="H19" s="1"/>
      <c r="I19" s="284" t="str">
        <f>+'Trial Deposits Engine'!H108</f>
        <v>N/A</v>
      </c>
      <c r="J19" s="284" t="str">
        <f>+'Trial Deposits Engine'!I108</f>
        <v>N/A</v>
      </c>
      <c r="K19" s="284" t="str">
        <f>+'Trial Deposits Engine'!J108</f>
        <v>N/A</v>
      </c>
      <c r="L19" s="284" t="str">
        <f>+'Trial Deposits Engine'!K108</f>
        <v>N/A</v>
      </c>
      <c r="M19" s="284" t="str">
        <f>+'Trial Deposits Engine'!L108</f>
        <v>N/A</v>
      </c>
      <c r="N19" s="284" t="str">
        <f>+'Trial Deposits Engine'!M108</f>
        <v>N/A</v>
      </c>
      <c r="O19" s="284" t="str">
        <f>+'Trial Deposits Engine'!N108</f>
        <v>N/A</v>
      </c>
      <c r="P19" s="284" t="str">
        <f>+'Trial Deposits Engine'!O108</f>
        <v>N/A</v>
      </c>
      <c r="Q19" s="284" t="str">
        <f>+'Trial Deposits Engine'!P108</f>
        <v>N/A</v>
      </c>
      <c r="R19" s="284" t="str">
        <f>+'Trial Deposits Engine'!Q108</f>
        <v>N/A</v>
      </c>
      <c r="S19" s="326" t="str">
        <f ca="1">+'Trial Deposits Engine'!R108</f>
        <v>Mitigated below</v>
      </c>
      <c r="T19" s="327" t="str">
        <f ca="1">+'Trial Deposits Engine'!S108</f>
        <v>Mitigated below</v>
      </c>
      <c r="U19" s="327" t="str">
        <f ca="1">+'Trial Deposits Engine'!T108</f>
        <v>Mitigated below</v>
      </c>
      <c r="V19" s="327" t="str">
        <f ca="1">+'Trial Deposits Engine'!U108</f>
        <v>Mitigated below</v>
      </c>
      <c r="W19" s="327" t="str">
        <f ca="1">+'Trial Deposits Engine'!V108</f>
        <v>Mitigated below</v>
      </c>
      <c r="X19" s="327" t="str">
        <f ca="1">+'Trial Deposits Engine'!W108</f>
        <v>Mitigated below</v>
      </c>
      <c r="Y19" s="327" t="str">
        <f ca="1">+'Trial Deposits Engine'!X108</f>
        <v>Mitigated below</v>
      </c>
      <c r="Z19" s="327" t="str">
        <f ca="1">+'Trial Deposits Engine'!Y108</f>
        <v>Mitigated below</v>
      </c>
      <c r="AA19" s="327" t="str">
        <f ca="1">+'Trial Deposits Engine'!Z108</f>
        <v>Mitigated below</v>
      </c>
      <c r="AB19" s="327" t="str">
        <f ca="1">+'Trial Deposits Engine'!AA108</f>
        <v>Mitigated below</v>
      </c>
      <c r="AC19" s="49"/>
      <c r="AD19" s="1"/>
      <c r="AE19" s="129"/>
    </row>
    <row r="20" spans="1:36" ht="11.25" customHeight="1" x14ac:dyDescent="0.25">
      <c r="A20" s="42"/>
      <c r="B20" s="48"/>
      <c r="C20" s="185"/>
      <c r="D20" s="1"/>
      <c r="E20" s="1"/>
      <c r="F20" s="288"/>
      <c r="G20" s="288"/>
      <c r="H20" s="1"/>
      <c r="I20" s="285"/>
      <c r="J20" s="285"/>
      <c r="K20" s="285"/>
      <c r="L20" s="285"/>
      <c r="M20" s="285"/>
      <c r="N20" s="285"/>
      <c r="O20" s="285"/>
      <c r="P20" s="285"/>
      <c r="Q20" s="285"/>
      <c r="R20" s="285"/>
      <c r="S20" s="286"/>
      <c r="T20" s="285"/>
      <c r="U20" s="285"/>
      <c r="V20" s="285"/>
      <c r="W20" s="285"/>
      <c r="X20" s="285"/>
      <c r="Y20" s="285"/>
      <c r="Z20" s="285"/>
      <c r="AA20" s="285"/>
      <c r="AB20" s="285"/>
      <c r="AC20" s="49"/>
      <c r="AD20" s="1"/>
      <c r="AE20" s="129"/>
    </row>
    <row r="21" spans="1:36" ht="15.75" x14ac:dyDescent="0.25">
      <c r="A21" s="42"/>
      <c r="B21" s="45"/>
      <c r="C21" s="328" t="str">
        <f>+'Trial Deposits Engine'!C111</f>
        <v>Loan Amortization Test for Outyear Deficits-Yrs 11+</v>
      </c>
      <c r="D21" s="301"/>
      <c r="E21" s="301"/>
      <c r="F21" s="302"/>
      <c r="G21" s="302"/>
      <c r="H21" s="301"/>
      <c r="I21" s="303"/>
      <c r="J21" s="303"/>
      <c r="K21" s="303"/>
      <c r="L21" s="303"/>
      <c r="M21" s="303"/>
      <c r="N21" s="303"/>
      <c r="O21" s="303"/>
      <c r="P21" s="303"/>
      <c r="Q21" s="303"/>
      <c r="R21" s="303"/>
      <c r="S21" s="304"/>
      <c r="T21" s="303"/>
      <c r="U21" s="303"/>
      <c r="V21" s="303"/>
      <c r="W21" s="303"/>
      <c r="X21" s="303"/>
      <c r="Y21" s="303"/>
      <c r="Z21" s="303"/>
      <c r="AA21" s="303"/>
      <c r="AB21" s="303"/>
      <c r="AC21" s="300"/>
      <c r="AD21" s="1"/>
      <c r="AE21" s="129"/>
    </row>
    <row r="22" spans="1:36" ht="18" customHeight="1" x14ac:dyDescent="0.25">
      <c r="A22" s="42"/>
      <c r="B22" s="48" t="s">
        <v>258</v>
      </c>
      <c r="C22" s="83"/>
      <c r="D22" s="1"/>
      <c r="E22" s="1"/>
      <c r="F22" s="289" t="str">
        <f>+'Trial Deposits Engine'!F119</f>
        <v>Lowest margin, years 11-20</v>
      </c>
      <c r="G22" s="290">
        <f ca="1">+'Trial Deposits Engine'!G119</f>
        <v>1092567.9726423973</v>
      </c>
      <c r="H22" s="86"/>
      <c r="I22" s="269">
        <f>+'Trial Deposits Engine'!H118</f>
        <v>0</v>
      </c>
      <c r="J22" s="269">
        <f>+'Trial Deposits Engine'!I118</f>
        <v>0</v>
      </c>
      <c r="K22" s="269">
        <f>+'Trial Deposits Engine'!J118</f>
        <v>0</v>
      </c>
      <c r="L22" s="269">
        <f>+'Trial Deposits Engine'!K118</f>
        <v>0</v>
      </c>
      <c r="M22" s="269">
        <f>+'Trial Deposits Engine'!L118</f>
        <v>0</v>
      </c>
      <c r="N22" s="269">
        <f>+'Trial Deposits Engine'!M118</f>
        <v>0</v>
      </c>
      <c r="O22" s="269">
        <f>+'Trial Deposits Engine'!N118</f>
        <v>0</v>
      </c>
      <c r="P22" s="269">
        <f>+'Trial Deposits Engine'!O118</f>
        <v>0</v>
      </c>
      <c r="Q22" s="269">
        <f>+'Trial Deposits Engine'!P118</f>
        <v>0</v>
      </c>
      <c r="R22" s="269">
        <f>+'Trial Deposits Engine'!Q118</f>
        <v>0</v>
      </c>
      <c r="S22" s="280">
        <f ca="1">+'Trial Deposits Engine'!R118</f>
        <v>1092567.9726423973</v>
      </c>
      <c r="T22" s="269">
        <f ca="1">+'Trial Deposits Engine'!S118</f>
        <v>1119227.5442573931</v>
      </c>
      <c r="U22" s="269">
        <f ca="1">+'Trial Deposits Engine'!T118</f>
        <v>1223680.5497717557</v>
      </c>
      <c r="V22" s="269">
        <f ca="1">+'Trial Deposits Engine'!U118</f>
        <v>1319469.7061583416</v>
      </c>
      <c r="W22" s="269">
        <f ca="1">+'Trial Deposits Engine'!V118</f>
        <v>1372354.3519149765</v>
      </c>
      <c r="X22" s="269">
        <f ca="1">+'Trial Deposits Engine'!W118</f>
        <v>1534955.6384826049</v>
      </c>
      <c r="Y22" s="269">
        <f ca="1">+'Trial Deposits Engine'!X118</f>
        <v>1717137.7282196374</v>
      </c>
      <c r="Z22" s="269">
        <f ca="1">+'Trial Deposits Engine'!Y118</f>
        <v>1861409.999157812</v>
      </c>
      <c r="AA22" s="269">
        <f ca="1">+'Trial Deposits Engine'!Z118</f>
        <v>2018752.2567726686</v>
      </c>
      <c r="AB22" s="269">
        <f ca="1">+'Trial Deposits Engine'!AA118</f>
        <v>1922793.9530097442</v>
      </c>
      <c r="AC22" s="124"/>
      <c r="AD22" s="1"/>
      <c r="AE22" s="129"/>
    </row>
    <row r="23" spans="1:36" ht="25.5" customHeight="1" x14ac:dyDescent="0.25">
      <c r="A23" s="42"/>
      <c r="B23" s="48"/>
      <c r="C23" s="118" t="str">
        <f>+'Trial Deposits Engine'!C120</f>
        <v>Are Shortfalls &lt;Allowed % of Principal Paydown</v>
      </c>
      <c r="D23" s="88" t="str">
        <f ca="1">+'Trial Deposits Engine'!D120</f>
        <v>PASS</v>
      </c>
      <c r="E23" s="1"/>
      <c r="F23" s="287">
        <f ca="1">+'Trial Deposits Engine'!F120</f>
        <v>0</v>
      </c>
      <c r="G23" s="287" t="str">
        <f>+'Trial Deposits Engine'!G120</f>
        <v>Violations</v>
      </c>
      <c r="H23" s="87"/>
      <c r="I23" s="282" t="str">
        <f>+'Trial Deposits Engine'!H120</f>
        <v>N/A</v>
      </c>
      <c r="J23" s="282" t="str">
        <f>+'Trial Deposits Engine'!I120</f>
        <v>N/A</v>
      </c>
      <c r="K23" s="282" t="str">
        <f>+'Trial Deposits Engine'!J120</f>
        <v>N/A</v>
      </c>
      <c r="L23" s="282" t="str">
        <f>+'Trial Deposits Engine'!K120</f>
        <v>N/A</v>
      </c>
      <c r="M23" s="282" t="str">
        <f>+'Trial Deposits Engine'!L120</f>
        <v>N/A</v>
      </c>
      <c r="N23" s="282" t="str">
        <f>+'Trial Deposits Engine'!M120</f>
        <v>N/A</v>
      </c>
      <c r="O23" s="282" t="str">
        <f>+'Trial Deposits Engine'!N120</f>
        <v>N/A</v>
      </c>
      <c r="P23" s="282" t="str">
        <f>+'Trial Deposits Engine'!O120</f>
        <v>N/A</v>
      </c>
      <c r="Q23" s="282" t="str">
        <f>+'Trial Deposits Engine'!P120</f>
        <v>N/A</v>
      </c>
      <c r="R23" s="282" t="str">
        <f>+'Trial Deposits Engine'!Q120</f>
        <v>N/A</v>
      </c>
      <c r="S23" s="283" t="str">
        <f ca="1">+'Trial Deposits Engine'!R120</f>
        <v>OK</v>
      </c>
      <c r="T23" s="282" t="str">
        <f ca="1">+'Trial Deposits Engine'!S120</f>
        <v>OK</v>
      </c>
      <c r="U23" s="282" t="str">
        <f ca="1">+'Trial Deposits Engine'!T120</f>
        <v>OK</v>
      </c>
      <c r="V23" s="282" t="str">
        <f ca="1">+'Trial Deposits Engine'!U120</f>
        <v>OK</v>
      </c>
      <c r="W23" s="282" t="str">
        <f ca="1">+'Trial Deposits Engine'!V120</f>
        <v>OK</v>
      </c>
      <c r="X23" s="282" t="str">
        <f ca="1">+'Trial Deposits Engine'!W120</f>
        <v>OK</v>
      </c>
      <c r="Y23" s="282" t="str">
        <f ca="1">+'Trial Deposits Engine'!X120</f>
        <v>OK</v>
      </c>
      <c r="Z23" s="282" t="str">
        <f ca="1">+'Trial Deposits Engine'!Y120</f>
        <v>OK</v>
      </c>
      <c r="AA23" s="282" t="str">
        <f ca="1">+'Trial Deposits Engine'!Z120</f>
        <v>OK</v>
      </c>
      <c r="AB23" s="282" t="str">
        <f ca="1">+'Trial Deposits Engine'!AA120</f>
        <v>OK</v>
      </c>
      <c r="AC23" s="124"/>
      <c r="AD23" s="1"/>
      <c r="AE23" s="129"/>
    </row>
    <row r="24" spans="1:36" x14ac:dyDescent="0.25">
      <c r="A24" s="42"/>
      <c r="B24" s="48"/>
      <c r="C24" s="177" t="s">
        <v>259</v>
      </c>
      <c r="D24" s="87"/>
      <c r="E24" s="1"/>
      <c r="F24" s="87"/>
      <c r="G24" s="87"/>
      <c r="H24" s="87"/>
      <c r="I24" s="269">
        <f>-'Trial Deposits Engine'!H116</f>
        <v>181638.60297600797</v>
      </c>
      <c r="J24" s="269">
        <f>-'Trial Deposits Engine'!I116</f>
        <v>369550.07137657818</v>
      </c>
      <c r="K24" s="269">
        <f>-'Trial Deposits Engine'!J116</f>
        <v>563951.0377896626</v>
      </c>
      <c r="L24" s="269">
        <f>-'Trial Deposits Engine'!K116</f>
        <v>765065.61618133681</v>
      </c>
      <c r="M24" s="269">
        <f>-'Trial Deposits Engine'!L116</f>
        <v>973125.66026421776</v>
      </c>
      <c r="N24" s="269">
        <f>-'Trial Deposits Engine'!M116</f>
        <v>1188371.0307885974</v>
      </c>
      <c r="O24" s="269">
        <f>-'Trial Deposits Engine'!N116</f>
        <v>1411049.8720644442</v>
      </c>
      <c r="P24" s="269">
        <f>-'Trial Deposits Engine'!O116</f>
        <v>1641418.8980330529</v>
      </c>
      <c r="Q24" s="269">
        <f>-'Trial Deposits Engine'!P116</f>
        <v>1879743.6882181454</v>
      </c>
      <c r="R24" s="269">
        <f>-'Trial Deposits Engine'!Q116</f>
        <v>2126298.9938975987</v>
      </c>
      <c r="S24" s="281">
        <f>-'Trial Deposits Engine'!R116</f>
        <v>2381369.0548487785</v>
      </c>
      <c r="T24" s="269">
        <f>-'Trial Deposits Engine'!S116</f>
        <v>2645247.9270326286</v>
      </c>
      <c r="U24" s="269">
        <f>-'Trial Deposits Engine'!T116</f>
        <v>2918239.8215942886</v>
      </c>
      <c r="V24" s="269">
        <f>-'Trial Deposits Engine'!U116</f>
        <v>3200659.4555710545</v>
      </c>
      <c r="W24" s="269">
        <f>-'Trial Deposits Engine'!V116</f>
        <v>3492832.4147119899</v>
      </c>
      <c r="X24" s="269">
        <f>-'Trial Deposits Engine'!W116</f>
        <v>3795095.5288274661</v>
      </c>
      <c r="Y24" s="269">
        <f>-'Trial Deposits Engine'!X116</f>
        <v>4107797.2601013547</v>
      </c>
      <c r="Z24" s="269">
        <f>-'Trial Deposits Engine'!Y116</f>
        <v>4431298.1048135236</v>
      </c>
      <c r="AA24" s="269">
        <f>-'Trial Deposits Engine'!Z116</f>
        <v>4765971.0089357728</v>
      </c>
      <c r="AB24" s="269">
        <f>-'Trial Deposits Engine'!AA116</f>
        <v>5112201.7980803112</v>
      </c>
      <c r="AC24" s="124"/>
      <c r="AD24" s="1"/>
      <c r="AE24" s="129"/>
    </row>
    <row r="25" spans="1:36" x14ac:dyDescent="0.25">
      <c r="A25" s="42"/>
      <c r="B25" s="48"/>
      <c r="C25" s="177" t="s">
        <v>260</v>
      </c>
      <c r="D25" s="87"/>
      <c r="E25" s="1"/>
      <c r="F25" s="87"/>
      <c r="G25" s="87"/>
      <c r="H25" s="87"/>
      <c r="I25" s="270" t="str">
        <f ca="1">+IF(I13&lt;0,-I13/I24,"N/A")</f>
        <v>N/A</v>
      </c>
      <c r="J25" s="270" t="str">
        <f t="shared" ref="J25:R25" ca="1" si="0">+IF(J13&lt;0,-J13/J24,"N/A")</f>
        <v>N/A</v>
      </c>
      <c r="K25" s="270" t="str">
        <f t="shared" ca="1" si="0"/>
        <v>N/A</v>
      </c>
      <c r="L25" s="270" t="str">
        <f t="shared" ca="1" si="0"/>
        <v>N/A</v>
      </c>
      <c r="M25" s="270" t="str">
        <f t="shared" ca="1" si="0"/>
        <v>N/A</v>
      </c>
      <c r="N25" s="270" t="str">
        <f t="shared" ca="1" si="0"/>
        <v>N/A</v>
      </c>
      <c r="O25" s="270" t="str">
        <f t="shared" ca="1" si="0"/>
        <v>N/A</v>
      </c>
      <c r="P25" s="270" t="str">
        <f t="shared" ca="1" si="0"/>
        <v>N/A</v>
      </c>
      <c r="Q25" s="270" t="str">
        <f t="shared" ca="1" si="0"/>
        <v>N/A</v>
      </c>
      <c r="R25" s="270" t="str">
        <f t="shared" ca="1" si="0"/>
        <v>N/A</v>
      </c>
      <c r="S25" s="270">
        <f ca="1">+IF(S16&lt;0,-S16/S24,"N/A")</f>
        <v>4.1201742578376888E-2</v>
      </c>
      <c r="T25" s="270">
        <f t="shared" ref="T25:AB25" ca="1" si="1">+IF(T16&lt;0,-T16/T24,"N/A")</f>
        <v>7.6891249844806026E-2</v>
      </c>
      <c r="U25" s="270">
        <f t="shared" ca="1" si="1"/>
        <v>8.0678551256546077E-2</v>
      </c>
      <c r="V25" s="270">
        <f t="shared" ca="1" si="1"/>
        <v>8.7750673111543262E-2</v>
      </c>
      <c r="W25" s="270">
        <f t="shared" ca="1" si="1"/>
        <v>0.1070941319329982</v>
      </c>
      <c r="X25" s="270">
        <f t="shared" ca="1" si="1"/>
        <v>9.5542292197096465E-2</v>
      </c>
      <c r="Y25" s="270">
        <f t="shared" ca="1" si="1"/>
        <v>8.1980896453183461E-2</v>
      </c>
      <c r="Z25" s="270">
        <f t="shared" ca="1" si="1"/>
        <v>7.9940244341529534E-2</v>
      </c>
      <c r="AA25" s="270">
        <f t="shared" ca="1" si="1"/>
        <v>7.6423722891371546E-2</v>
      </c>
      <c r="AB25" s="271">
        <f t="shared" ca="1" si="1"/>
        <v>0.12388144502985492</v>
      </c>
      <c r="AC25" s="124"/>
      <c r="AD25" s="1"/>
      <c r="AE25" s="129"/>
    </row>
    <row r="26" spans="1:36" ht="21.75" customHeight="1" x14ac:dyDescent="0.25">
      <c r="A26" s="42"/>
      <c r="B26" s="60"/>
      <c r="C26" s="61"/>
      <c r="D26" s="61"/>
      <c r="E26" s="61"/>
      <c r="F26" s="61"/>
      <c r="G26" s="61"/>
      <c r="H26" s="61"/>
      <c r="I26" s="61"/>
      <c r="J26" s="61"/>
      <c r="K26" s="61"/>
      <c r="L26" s="61"/>
      <c r="M26" s="61"/>
      <c r="N26" s="61"/>
      <c r="O26" s="61"/>
      <c r="P26" s="61"/>
      <c r="Q26" s="61"/>
      <c r="R26" s="334" t="str">
        <f>+'Trial Deposits Engine'!Q123</f>
        <v>% of RfR plus Req. Min. Bal. as % of Cum. Amort.</v>
      </c>
      <c r="S26" s="333">
        <f ca="1">+'Trial Deposits Engine'!R123</f>
        <v>4.1201742578376888E-2</v>
      </c>
      <c r="T26" s="333">
        <f ca="1">+'Trial Deposits Engine'!S123</f>
        <v>7.6891249844806026E-2</v>
      </c>
      <c r="U26" s="333">
        <f ca="1">+'Trial Deposits Engine'!T123</f>
        <v>8.0678551256546077E-2</v>
      </c>
      <c r="V26" s="333">
        <f ca="1">+'Trial Deposits Engine'!U123</f>
        <v>8.7750673111543262E-2</v>
      </c>
      <c r="W26" s="333">
        <f ca="1">+'Trial Deposits Engine'!V123</f>
        <v>0.1070941319329982</v>
      </c>
      <c r="X26" s="333">
        <f ca="1">+'Trial Deposits Engine'!W123</f>
        <v>9.5542292197096465E-2</v>
      </c>
      <c r="Y26" s="333">
        <f ca="1">+'Trial Deposits Engine'!X123</f>
        <v>8.1980896453183461E-2</v>
      </c>
      <c r="Z26" s="333">
        <f ca="1">+'Trial Deposits Engine'!Y123</f>
        <v>7.9940244341529534E-2</v>
      </c>
      <c r="AA26" s="333">
        <f ca="1">+'Trial Deposits Engine'!Z123</f>
        <v>7.6423722891371546E-2</v>
      </c>
      <c r="AB26" s="333">
        <f ca="1">+'Trial Deposits Engine'!AA123</f>
        <v>0.12388144502985492</v>
      </c>
      <c r="AC26" s="62"/>
      <c r="AD26" s="1"/>
      <c r="AE26" s="129"/>
    </row>
    <row r="27" spans="1:36" ht="7.5" customHeight="1" x14ac:dyDescent="0.25">
      <c r="A27" s="42"/>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29"/>
    </row>
    <row r="28" spans="1:36" x14ac:dyDescent="0.25">
      <c r="A28" s="42"/>
      <c r="B28" s="42"/>
      <c r="C28" s="42"/>
      <c r="D28" s="42"/>
      <c r="E28" s="42"/>
      <c r="F28" s="42"/>
      <c r="G28" s="195" t="str">
        <f>+Instructions!B3</f>
        <v>Version 2.0</v>
      </c>
      <c r="H28" s="42"/>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row>
    <row r="29" spans="1:36" x14ac:dyDescent="0.25">
      <c r="A29" s="71"/>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73"/>
    </row>
    <row r="30" spans="1:36" x14ac:dyDescent="0.25">
      <c r="A30" s="71"/>
      <c r="B30" s="3"/>
      <c r="C30" s="3" t="s">
        <v>261</v>
      </c>
      <c r="D30" s="3"/>
      <c r="E30" s="3"/>
      <c r="F30" s="3"/>
      <c r="G30" s="3"/>
      <c r="H30" s="3"/>
      <c r="I30" s="75">
        <f>+I6</f>
        <v>200000</v>
      </c>
      <c r="J30" s="75"/>
      <c r="K30" s="3"/>
      <c r="L30" s="3"/>
      <c r="M30" s="3"/>
      <c r="N30" s="3"/>
      <c r="O30" s="3"/>
      <c r="P30" s="3"/>
      <c r="Q30" s="3"/>
      <c r="R30" s="3"/>
      <c r="S30" s="75">
        <f>+S6</f>
        <v>0</v>
      </c>
      <c r="T30" s="3"/>
      <c r="U30" s="3"/>
      <c r="V30" s="3"/>
      <c r="W30" s="3"/>
      <c r="X30" s="3"/>
      <c r="Y30" s="3"/>
      <c r="Z30" s="3"/>
      <c r="AA30" s="3"/>
      <c r="AB30" s="3"/>
      <c r="AC30" s="406">
        <f>SUM(I30:AB30)</f>
        <v>200000</v>
      </c>
      <c r="AD30" s="3"/>
      <c r="AE30" s="3"/>
      <c r="AF30" s="3"/>
      <c r="AG30" s="3"/>
      <c r="AH30" s="3"/>
      <c r="AI30" s="3"/>
      <c r="AJ30" s="73"/>
    </row>
    <row r="31" spans="1:36" x14ac:dyDescent="0.25">
      <c r="A31" s="71"/>
      <c r="B31" s="3"/>
      <c r="C31" s="385" t="s">
        <v>262</v>
      </c>
      <c r="D31" s="385"/>
      <c r="E31" s="385"/>
      <c r="F31" s="385"/>
      <c r="G31" s="385"/>
      <c r="H31" s="385"/>
      <c r="I31" s="385"/>
      <c r="J31" s="386">
        <f ca="1">+I35</f>
        <v>202000</v>
      </c>
      <c r="K31" s="386">
        <f t="shared" ref="K31:S31" ca="1" si="2">+J35</f>
        <v>204218</v>
      </c>
      <c r="L31" s="386">
        <f t="shared" ca="1" si="2"/>
        <v>151373.40000000002</v>
      </c>
      <c r="M31" s="386">
        <f t="shared" ca="1" si="2"/>
        <v>126204.12940000001</v>
      </c>
      <c r="N31" s="386">
        <f t="shared" ca="1" si="2"/>
        <v>98358.558109000005</v>
      </c>
      <c r="O31" s="386">
        <f t="shared" ca="1" si="2"/>
        <v>73242.946383995004</v>
      </c>
      <c r="P31" s="386">
        <f t="shared" ca="1" si="2"/>
        <v>74731.800579754927</v>
      </c>
      <c r="Q31" s="386">
        <f t="shared" ca="1" si="2"/>
        <v>54788.944046428398</v>
      </c>
      <c r="R31" s="386">
        <f t="shared" ca="1" si="2"/>
        <v>48983.824189491097</v>
      </c>
      <c r="S31" s="386">
        <f t="shared" ca="1" si="2"/>
        <v>43555.604649576635</v>
      </c>
      <c r="T31" s="386">
        <f t="shared" ref="T31:AB31" ca="1" si="3">+S35</f>
        <v>0</v>
      </c>
      <c r="U31" s="386">
        <f t="shared" ca="1" si="3"/>
        <v>0</v>
      </c>
      <c r="V31" s="386">
        <f t="shared" ca="1" si="3"/>
        <v>0</v>
      </c>
      <c r="W31" s="386">
        <f t="shared" ca="1" si="3"/>
        <v>0</v>
      </c>
      <c r="X31" s="386">
        <f t="shared" ca="1" si="3"/>
        <v>0</v>
      </c>
      <c r="Y31" s="386">
        <f t="shared" ca="1" si="3"/>
        <v>0</v>
      </c>
      <c r="Z31" s="386">
        <f t="shared" ca="1" si="3"/>
        <v>0</v>
      </c>
      <c r="AA31" s="386">
        <f t="shared" ca="1" si="3"/>
        <v>0</v>
      </c>
      <c r="AB31" s="386">
        <f t="shared" ca="1" si="3"/>
        <v>0</v>
      </c>
      <c r="AC31" s="407"/>
      <c r="AD31" s="3"/>
      <c r="AE31" s="3"/>
      <c r="AF31" s="3"/>
      <c r="AG31" s="3"/>
      <c r="AH31" s="3"/>
      <c r="AI31" s="3"/>
      <c r="AJ31" s="73"/>
    </row>
    <row r="32" spans="1:36" x14ac:dyDescent="0.25">
      <c r="A32" s="71"/>
      <c r="B32" s="3"/>
      <c r="C32" s="3" t="s">
        <v>263</v>
      </c>
      <c r="D32" s="3"/>
      <c r="E32" s="3"/>
      <c r="F32" s="3"/>
      <c r="G32" s="3"/>
      <c r="H32" s="3"/>
      <c r="I32" s="384">
        <f ca="1">+I8</f>
        <v>2000</v>
      </c>
      <c r="J32" s="384">
        <f ca="1">+J8</f>
        <v>2218</v>
      </c>
      <c r="K32" s="384">
        <f ca="1">+K8</f>
        <v>3453.48</v>
      </c>
      <c r="L32" s="384">
        <f ca="1">+L8</f>
        <v>2660.8109999999997</v>
      </c>
      <c r="M32" s="384">
        <f ca="1">+M8</f>
        <v>2283.2719409999995</v>
      </c>
      <c r="N32" s="384">
        <f t="shared" ref="N32:S32" ca="1" si="4">+N8</f>
        <v>1865.5883716349995</v>
      </c>
      <c r="O32" s="384">
        <f t="shared" ca="1" si="4"/>
        <v>1488.8541957599246</v>
      </c>
      <c r="P32" s="384">
        <f t="shared" ca="1" si="4"/>
        <v>1540.1672472177313</v>
      </c>
      <c r="Q32" s="384">
        <f t="shared" ca="1" si="4"/>
        <v>1241.0243992178334</v>
      </c>
      <c r="R32" s="384">
        <f t="shared" ca="1" si="4"/>
        <v>1153.9476013637739</v>
      </c>
      <c r="S32" s="384">
        <f t="shared" ca="1" si="4"/>
        <v>1072.5243082650568</v>
      </c>
      <c r="T32" s="384">
        <f t="shared" ref="T32:AB32" ca="1" si="5">+T8</f>
        <v>0</v>
      </c>
      <c r="U32" s="384">
        <f t="shared" ca="1" si="5"/>
        <v>0</v>
      </c>
      <c r="V32" s="384">
        <f t="shared" ca="1" si="5"/>
        <v>0</v>
      </c>
      <c r="W32" s="384">
        <f t="shared" ca="1" si="5"/>
        <v>0</v>
      </c>
      <c r="X32" s="384">
        <f t="shared" ca="1" si="5"/>
        <v>0</v>
      </c>
      <c r="Y32" s="384">
        <f t="shared" ca="1" si="5"/>
        <v>0</v>
      </c>
      <c r="Z32" s="384">
        <f t="shared" ca="1" si="5"/>
        <v>0</v>
      </c>
      <c r="AA32" s="384">
        <f t="shared" ca="1" si="5"/>
        <v>0</v>
      </c>
      <c r="AB32" s="384">
        <f t="shared" ca="1" si="5"/>
        <v>0</v>
      </c>
      <c r="AC32" s="408">
        <f ca="1">SUM(I32:AB32)</f>
        <v>20977.669064459315</v>
      </c>
      <c r="AD32" s="3"/>
      <c r="AE32" s="3"/>
      <c r="AF32" s="3"/>
      <c r="AG32" s="3"/>
      <c r="AH32" s="3"/>
      <c r="AI32" s="3"/>
      <c r="AJ32" s="73"/>
    </row>
    <row r="33" spans="1:36" x14ac:dyDescent="0.25">
      <c r="A33" s="71"/>
      <c r="B33" s="3"/>
      <c r="C33" s="3" t="s">
        <v>264</v>
      </c>
      <c r="D33" s="3"/>
      <c r="E33" s="3"/>
      <c r="F33" s="3"/>
      <c r="G33" s="3"/>
      <c r="H33" s="3"/>
      <c r="I33" s="75">
        <f ca="1">+I30+I32</f>
        <v>202000</v>
      </c>
      <c r="J33" s="75">
        <f t="shared" ref="J33:S33" ca="1" si="6">+J31+J32</f>
        <v>204218</v>
      </c>
      <c r="K33" s="75">
        <f t="shared" ca="1" si="6"/>
        <v>207671.48</v>
      </c>
      <c r="L33" s="75">
        <f t="shared" ca="1" si="6"/>
        <v>154034.21100000001</v>
      </c>
      <c r="M33" s="75">
        <f t="shared" ca="1" si="6"/>
        <v>128487.401341</v>
      </c>
      <c r="N33" s="75">
        <f t="shared" ca="1" si="6"/>
        <v>100224.146480635</v>
      </c>
      <c r="O33" s="75">
        <f t="shared" ca="1" si="6"/>
        <v>74731.800579754927</v>
      </c>
      <c r="P33" s="75">
        <f t="shared" ca="1" si="6"/>
        <v>76271.967826972657</v>
      </c>
      <c r="Q33" s="75">
        <f t="shared" ca="1" si="6"/>
        <v>56029.968445646235</v>
      </c>
      <c r="R33" s="75">
        <f t="shared" ca="1" si="6"/>
        <v>50137.771790854873</v>
      </c>
      <c r="S33" s="75">
        <f t="shared" ca="1" si="6"/>
        <v>44628.128957841691</v>
      </c>
      <c r="T33" s="75">
        <f t="shared" ref="T33:AB33" ca="1" si="7">+T31+T32</f>
        <v>0</v>
      </c>
      <c r="U33" s="75">
        <f t="shared" ca="1" si="7"/>
        <v>0</v>
      </c>
      <c r="V33" s="75">
        <f t="shared" ca="1" si="7"/>
        <v>0</v>
      </c>
      <c r="W33" s="75">
        <f t="shared" ca="1" si="7"/>
        <v>0</v>
      </c>
      <c r="X33" s="75">
        <f t="shared" ca="1" si="7"/>
        <v>0</v>
      </c>
      <c r="Y33" s="75">
        <f t="shared" ca="1" si="7"/>
        <v>0</v>
      </c>
      <c r="Z33" s="75">
        <f t="shared" ca="1" si="7"/>
        <v>0</v>
      </c>
      <c r="AA33" s="75">
        <f t="shared" ca="1" si="7"/>
        <v>0</v>
      </c>
      <c r="AB33" s="75">
        <f t="shared" ca="1" si="7"/>
        <v>0</v>
      </c>
      <c r="AC33" s="407"/>
      <c r="AD33" s="3"/>
      <c r="AE33" s="3"/>
      <c r="AF33" s="3"/>
      <c r="AG33" s="3"/>
      <c r="AH33" s="3"/>
      <c r="AI33" s="3"/>
      <c r="AJ33" s="73"/>
    </row>
    <row r="34" spans="1:36" x14ac:dyDescent="0.25">
      <c r="A34" s="71"/>
      <c r="B34" s="3"/>
      <c r="C34" s="3" t="s">
        <v>265</v>
      </c>
      <c r="D34" s="385"/>
      <c r="E34" s="385"/>
      <c r="F34" s="385"/>
      <c r="G34" s="385"/>
      <c r="H34" s="385"/>
      <c r="I34" s="387">
        <f t="shared" ref="I34:S34" si="8">+I41</f>
        <v>0</v>
      </c>
      <c r="J34" s="387">
        <f t="shared" si="8"/>
        <v>0</v>
      </c>
      <c r="K34" s="387">
        <f t="shared" ca="1" si="8"/>
        <v>-56298.080000000002</v>
      </c>
      <c r="L34" s="387">
        <f t="shared" ca="1" si="8"/>
        <v>-27830.081600000001</v>
      </c>
      <c r="M34" s="387">
        <f t="shared" ca="1" si="8"/>
        <v>-30128.843231999999</v>
      </c>
      <c r="N34" s="387">
        <f t="shared" ca="1" si="8"/>
        <v>-26981.200096640001</v>
      </c>
      <c r="O34" s="387">
        <f t="shared" si="8"/>
        <v>0</v>
      </c>
      <c r="P34" s="387">
        <f t="shared" ca="1" si="8"/>
        <v>-21483.023780544256</v>
      </c>
      <c r="Q34" s="387">
        <f t="shared" ca="1" si="8"/>
        <v>-7046.1442561551376</v>
      </c>
      <c r="R34" s="387">
        <f t="shared" ca="1" si="8"/>
        <v>-6582.1671412782416</v>
      </c>
      <c r="S34" s="387">
        <f t="shared" ca="1" si="8"/>
        <v>-44628.128957841691</v>
      </c>
      <c r="T34" s="387">
        <f t="shared" ref="T34:AB34" ca="1" si="9">+T41</f>
        <v>0</v>
      </c>
      <c r="U34" s="387">
        <f t="shared" ca="1" si="9"/>
        <v>0</v>
      </c>
      <c r="V34" s="387">
        <f t="shared" ca="1" si="9"/>
        <v>0</v>
      </c>
      <c r="W34" s="387">
        <f t="shared" ca="1" si="9"/>
        <v>0</v>
      </c>
      <c r="X34" s="387">
        <f t="shared" si="9"/>
        <v>0</v>
      </c>
      <c r="Y34" s="387">
        <f t="shared" si="9"/>
        <v>0</v>
      </c>
      <c r="Z34" s="387">
        <f t="shared" ca="1" si="9"/>
        <v>0</v>
      </c>
      <c r="AA34" s="387">
        <f t="shared" ca="1" si="9"/>
        <v>0</v>
      </c>
      <c r="AB34" s="387">
        <f t="shared" ca="1" si="9"/>
        <v>0</v>
      </c>
      <c r="AC34" s="407"/>
      <c r="AD34" s="3"/>
      <c r="AE34" s="3"/>
      <c r="AF34" s="3"/>
      <c r="AG34" s="3"/>
      <c r="AH34" s="3"/>
      <c r="AI34" s="3"/>
      <c r="AJ34" s="73"/>
    </row>
    <row r="35" spans="1:36" x14ac:dyDescent="0.25">
      <c r="A35" s="71"/>
      <c r="B35" s="3"/>
      <c r="C35" s="385" t="s">
        <v>266</v>
      </c>
      <c r="D35" s="385"/>
      <c r="E35" s="385"/>
      <c r="F35" s="385"/>
      <c r="G35" s="385"/>
      <c r="H35" s="385"/>
      <c r="I35" s="386">
        <f ca="1">+I33+I34</f>
        <v>202000</v>
      </c>
      <c r="J35" s="386">
        <f ca="1">+J33+J34</f>
        <v>204218</v>
      </c>
      <c r="K35" s="386">
        <f ca="1">+K33+K34</f>
        <v>151373.40000000002</v>
      </c>
      <c r="L35" s="386">
        <f ca="1">+L33+L34</f>
        <v>126204.12940000001</v>
      </c>
      <c r="M35" s="386">
        <f ca="1">+M33+M34</f>
        <v>98358.558109000005</v>
      </c>
      <c r="N35" s="386">
        <f t="shared" ref="N35:S35" ca="1" si="10">+N33+N34</f>
        <v>73242.946383995004</v>
      </c>
      <c r="O35" s="386">
        <f t="shared" ca="1" si="10"/>
        <v>74731.800579754927</v>
      </c>
      <c r="P35" s="386">
        <f t="shared" ca="1" si="10"/>
        <v>54788.944046428398</v>
      </c>
      <c r="Q35" s="386">
        <f t="shared" ca="1" si="10"/>
        <v>48983.824189491097</v>
      </c>
      <c r="R35" s="386">
        <f t="shared" ca="1" si="10"/>
        <v>43555.604649576635</v>
      </c>
      <c r="S35" s="386">
        <f t="shared" ca="1" si="10"/>
        <v>0</v>
      </c>
      <c r="T35" s="386">
        <f t="shared" ref="T35" ca="1" si="11">+T33+T34</f>
        <v>0</v>
      </c>
      <c r="U35" s="386">
        <f t="shared" ref="U35" ca="1" si="12">+U33+U34</f>
        <v>0</v>
      </c>
      <c r="V35" s="386">
        <f t="shared" ref="V35" ca="1" si="13">+V33+V34</f>
        <v>0</v>
      </c>
      <c r="W35" s="386">
        <f t="shared" ref="W35" ca="1" si="14">+W33+W34</f>
        <v>0</v>
      </c>
      <c r="X35" s="386">
        <f t="shared" ref="X35" ca="1" si="15">+X33+X34</f>
        <v>0</v>
      </c>
      <c r="Y35" s="386">
        <f t="shared" ref="Y35" ca="1" si="16">+Y33+Y34</f>
        <v>0</v>
      </c>
      <c r="Z35" s="386">
        <f t="shared" ref="Z35" ca="1" si="17">+Z33+Z34</f>
        <v>0</v>
      </c>
      <c r="AA35" s="386">
        <f t="shared" ref="AA35" ca="1" si="18">+AA33+AA34</f>
        <v>0</v>
      </c>
      <c r="AB35" s="386">
        <f t="shared" ref="AB35" ca="1" si="19">+AB33+AB34</f>
        <v>0</v>
      </c>
      <c r="AC35" s="407"/>
      <c r="AD35" s="3"/>
      <c r="AE35" s="3"/>
      <c r="AF35" s="3"/>
      <c r="AG35" s="3"/>
      <c r="AH35" s="3"/>
      <c r="AI35" s="3"/>
      <c r="AJ35" s="73"/>
    </row>
    <row r="36" spans="1:36" x14ac:dyDescent="0.25">
      <c r="A36" s="71"/>
      <c r="B36" s="3"/>
      <c r="C36" s="385"/>
      <c r="D36" s="385"/>
      <c r="E36" s="385"/>
      <c r="F36" s="385"/>
      <c r="G36" s="385"/>
      <c r="H36" s="385"/>
      <c r="I36" s="385"/>
      <c r="J36" s="385"/>
      <c r="K36" s="385"/>
      <c r="L36" s="385"/>
      <c r="M36" s="385"/>
      <c r="N36" s="385"/>
      <c r="O36" s="385"/>
      <c r="P36" s="385"/>
      <c r="Q36" s="385"/>
      <c r="R36" s="385"/>
      <c r="S36" s="385"/>
      <c r="T36" s="385"/>
      <c r="U36" s="385"/>
      <c r="V36" s="385"/>
      <c r="W36" s="385"/>
      <c r="X36" s="385"/>
      <c r="Y36" s="385"/>
      <c r="Z36" s="385"/>
      <c r="AA36" s="385"/>
      <c r="AB36" s="385"/>
      <c r="AC36" s="407"/>
      <c r="AD36" s="3"/>
      <c r="AE36" s="3"/>
      <c r="AF36" s="3"/>
      <c r="AG36" s="3"/>
      <c r="AH36" s="3"/>
      <c r="AI36" s="3"/>
      <c r="AJ36" s="73"/>
    </row>
    <row r="37" spans="1:36" x14ac:dyDescent="0.25">
      <c r="A37" s="71"/>
      <c r="B37" s="3"/>
      <c r="C37" s="3" t="s">
        <v>267</v>
      </c>
      <c r="D37" s="3"/>
      <c r="E37" s="3"/>
      <c r="F37" s="3"/>
      <c r="G37" s="3"/>
      <c r="H37" s="3"/>
      <c r="I37" s="75">
        <f t="shared" ref="I37:S37" si="20">+I10</f>
        <v>19800</v>
      </c>
      <c r="J37" s="75">
        <f t="shared" si="20"/>
        <v>20196</v>
      </c>
      <c r="K37" s="75">
        <f t="shared" si="20"/>
        <v>20599.919999999998</v>
      </c>
      <c r="L37" s="75">
        <f t="shared" si="20"/>
        <v>21011.918399999999</v>
      </c>
      <c r="M37" s="75">
        <f t="shared" si="20"/>
        <v>21432.156768000001</v>
      </c>
      <c r="N37" s="75">
        <f t="shared" si="20"/>
        <v>21860.799903359999</v>
      </c>
      <c r="O37" s="75">
        <f t="shared" si="20"/>
        <v>22298.015901427199</v>
      </c>
      <c r="P37" s="75">
        <f t="shared" si="20"/>
        <v>22743.976219455744</v>
      </c>
      <c r="Q37" s="75">
        <f t="shared" si="20"/>
        <v>23198.855743844862</v>
      </c>
      <c r="R37" s="75">
        <f t="shared" si="20"/>
        <v>23662.832858721758</v>
      </c>
      <c r="S37" s="75">
        <f t="shared" si="20"/>
        <v>24136.089515896194</v>
      </c>
      <c r="T37" s="75">
        <f t="shared" ref="T37:AB37" si="21">+T10</f>
        <v>24618.81130621412</v>
      </c>
      <c r="U37" s="75">
        <f t="shared" si="21"/>
        <v>25111.187532338401</v>
      </c>
      <c r="V37" s="75">
        <f t="shared" si="21"/>
        <v>25613.411282985166</v>
      </c>
      <c r="W37" s="75">
        <f t="shared" si="21"/>
        <v>26125.679508644873</v>
      </c>
      <c r="X37" s="75">
        <f t="shared" si="21"/>
        <v>26648.19309881777</v>
      </c>
      <c r="Y37" s="75">
        <f t="shared" si="21"/>
        <v>27181.156960794127</v>
      </c>
      <c r="Z37" s="75">
        <f t="shared" si="21"/>
        <v>27724.780100010012</v>
      </c>
      <c r="AA37" s="75">
        <f t="shared" si="21"/>
        <v>28279.275702010214</v>
      </c>
      <c r="AB37" s="75">
        <f t="shared" si="21"/>
        <v>28844.861216050416</v>
      </c>
      <c r="AC37" s="409">
        <f>SUM(I37:AB37)</f>
        <v>481087.92201857083</v>
      </c>
      <c r="AD37" s="75">
        <f ca="1">+AC30+AC32+AC37</f>
        <v>702065.5910830301</v>
      </c>
      <c r="AE37" s="3"/>
      <c r="AF37" s="3"/>
      <c r="AG37" s="3"/>
      <c r="AH37" s="3"/>
      <c r="AI37" s="3"/>
      <c r="AJ37" s="73"/>
    </row>
    <row r="38" spans="1:36" x14ac:dyDescent="0.25">
      <c r="A38" s="71"/>
      <c r="B38" s="3"/>
      <c r="C38" s="3" t="s">
        <v>268</v>
      </c>
      <c r="D38" s="3"/>
      <c r="E38" s="3"/>
      <c r="F38" s="3"/>
      <c r="G38" s="75">
        <f>SUM(I38:AB38)</f>
        <v>-1262312</v>
      </c>
      <c r="H38" s="3"/>
      <c r="I38" s="384">
        <f t="shared" ref="I38:S38" si="22">+I12</f>
        <v>0</v>
      </c>
      <c r="J38" s="384">
        <f t="shared" si="22"/>
        <v>-13982</v>
      </c>
      <c r="K38" s="384">
        <f t="shared" si="22"/>
        <v>-76898</v>
      </c>
      <c r="L38" s="384">
        <f t="shared" si="22"/>
        <v>-48842</v>
      </c>
      <c r="M38" s="384">
        <f t="shared" si="22"/>
        <v>-51561</v>
      </c>
      <c r="N38" s="384">
        <f t="shared" si="22"/>
        <v>-48842</v>
      </c>
      <c r="O38" s="384">
        <f t="shared" si="22"/>
        <v>-20366</v>
      </c>
      <c r="P38" s="384">
        <f t="shared" si="22"/>
        <v>-44227</v>
      </c>
      <c r="Q38" s="384">
        <f t="shared" si="22"/>
        <v>-30245</v>
      </c>
      <c r="R38" s="384">
        <f t="shared" si="22"/>
        <v>-30245</v>
      </c>
      <c r="S38" s="384">
        <f t="shared" si="22"/>
        <v>-133693</v>
      </c>
      <c r="T38" s="384">
        <f t="shared" ref="T38:AB38" si="23">+T12</f>
        <v>-128676</v>
      </c>
      <c r="U38" s="384">
        <f t="shared" si="23"/>
        <v>-55907</v>
      </c>
      <c r="V38" s="384">
        <f t="shared" si="23"/>
        <v>-69762</v>
      </c>
      <c r="W38" s="384">
        <f t="shared" si="23"/>
        <v>-118030</v>
      </c>
      <c r="X38" s="384">
        <f t="shared" si="23"/>
        <v>-13855</v>
      </c>
      <c r="Y38" s="384">
        <f t="shared" si="23"/>
        <v>0</v>
      </c>
      <c r="Z38" s="384">
        <f t="shared" si="23"/>
        <v>-43826</v>
      </c>
      <c r="AA38" s="384">
        <f t="shared" si="23"/>
        <v>-36869</v>
      </c>
      <c r="AB38" s="384">
        <f t="shared" si="23"/>
        <v>-296486</v>
      </c>
      <c r="AC38" s="75">
        <f>SUM(I38:AB38)</f>
        <v>-1262312</v>
      </c>
      <c r="AD38" s="3"/>
      <c r="AE38" s="3"/>
      <c r="AF38" s="3"/>
      <c r="AG38" s="3"/>
      <c r="AH38" s="3"/>
      <c r="AI38" s="3"/>
      <c r="AJ38" s="73"/>
    </row>
    <row r="39" spans="1:36" x14ac:dyDescent="0.25">
      <c r="A39" s="71"/>
      <c r="B39" s="3"/>
      <c r="C39" s="3" t="s">
        <v>269</v>
      </c>
      <c r="D39" s="3"/>
      <c r="E39" s="3"/>
      <c r="F39" s="3"/>
      <c r="G39" s="3"/>
      <c r="H39" s="3"/>
      <c r="I39" s="75">
        <f>+I38+I37</f>
        <v>19800</v>
      </c>
      <c r="J39" s="75">
        <f>+J38+J37</f>
        <v>6214</v>
      </c>
      <c r="K39" s="75">
        <f t="shared" ref="K39:S39" si="24">+K38+K37</f>
        <v>-56298.080000000002</v>
      </c>
      <c r="L39" s="75">
        <f t="shared" si="24"/>
        <v>-27830.081600000001</v>
      </c>
      <c r="M39" s="75">
        <f t="shared" si="24"/>
        <v>-30128.843231999999</v>
      </c>
      <c r="N39" s="75">
        <f t="shared" si="24"/>
        <v>-26981.200096640001</v>
      </c>
      <c r="O39" s="75">
        <f t="shared" si="24"/>
        <v>1932.0159014271994</v>
      </c>
      <c r="P39" s="75">
        <f t="shared" si="24"/>
        <v>-21483.023780544256</v>
      </c>
      <c r="Q39" s="75">
        <f t="shared" si="24"/>
        <v>-7046.1442561551376</v>
      </c>
      <c r="R39" s="75">
        <f t="shared" si="24"/>
        <v>-6582.1671412782416</v>
      </c>
      <c r="S39" s="75">
        <f t="shared" si="24"/>
        <v>-109556.91048410381</v>
      </c>
      <c r="T39" s="75">
        <f t="shared" ref="T39" si="25">+T38+T37</f>
        <v>-104057.18869378588</v>
      </c>
      <c r="U39" s="75">
        <f t="shared" ref="U39" si="26">+U38+U37</f>
        <v>-30795.812467661599</v>
      </c>
      <c r="V39" s="75">
        <f t="shared" ref="V39" si="27">+V38+V37</f>
        <v>-44148.588717014834</v>
      </c>
      <c r="W39" s="75">
        <f t="shared" ref="W39" si="28">+W38+W37</f>
        <v>-91904.320491355131</v>
      </c>
      <c r="X39" s="75">
        <f t="shared" ref="X39" si="29">+X38+X37</f>
        <v>12793.19309881777</v>
      </c>
      <c r="Y39" s="75">
        <f t="shared" ref="Y39" si="30">+Y38+Y37</f>
        <v>27181.156960794127</v>
      </c>
      <c r="Z39" s="75">
        <f t="shared" ref="Z39" si="31">+Z38+Z37</f>
        <v>-16101.219899989988</v>
      </c>
      <c r="AA39" s="75">
        <f t="shared" ref="AA39" si="32">+AA38+AA37</f>
        <v>-8589.7242979897856</v>
      </c>
      <c r="AB39" s="75">
        <f t="shared" ref="AB39" si="33">+AB38+AB37</f>
        <v>-267641.1387839496</v>
      </c>
      <c r="AC39" s="3"/>
      <c r="AD39" s="3"/>
      <c r="AE39" s="3"/>
      <c r="AF39" s="3"/>
      <c r="AG39" s="3"/>
      <c r="AH39" s="3"/>
      <c r="AI39" s="3"/>
      <c r="AJ39" s="73"/>
    </row>
    <row r="40" spans="1:36" x14ac:dyDescent="0.25">
      <c r="A40" s="71"/>
      <c r="B40" s="3"/>
      <c r="C40" s="3" t="s">
        <v>270</v>
      </c>
      <c r="D40" s="385"/>
      <c r="E40" s="385"/>
      <c r="F40" s="3"/>
      <c r="G40" s="3"/>
      <c r="H40" s="3"/>
      <c r="I40" s="75">
        <f t="shared" ref="I40:S40" ca="1" si="34">+I33</f>
        <v>202000</v>
      </c>
      <c r="J40" s="75">
        <f t="shared" ca="1" si="34"/>
        <v>204218</v>
      </c>
      <c r="K40" s="75">
        <f t="shared" ca="1" si="34"/>
        <v>207671.48</v>
      </c>
      <c r="L40" s="75">
        <f t="shared" ca="1" si="34"/>
        <v>154034.21100000001</v>
      </c>
      <c r="M40" s="75">
        <f t="shared" ca="1" si="34"/>
        <v>128487.401341</v>
      </c>
      <c r="N40" s="75">
        <f t="shared" ca="1" si="34"/>
        <v>100224.146480635</v>
      </c>
      <c r="O40" s="75">
        <f t="shared" ca="1" si="34"/>
        <v>74731.800579754927</v>
      </c>
      <c r="P40" s="75">
        <f t="shared" ca="1" si="34"/>
        <v>76271.967826972657</v>
      </c>
      <c r="Q40" s="75">
        <f t="shared" ca="1" si="34"/>
        <v>56029.968445646235</v>
      </c>
      <c r="R40" s="75">
        <f t="shared" ca="1" si="34"/>
        <v>50137.771790854873</v>
      </c>
      <c r="S40" s="75">
        <f t="shared" ca="1" si="34"/>
        <v>44628.128957841691</v>
      </c>
      <c r="T40" s="75">
        <f t="shared" ref="T40:AB40" ca="1" si="35">+T33</f>
        <v>0</v>
      </c>
      <c r="U40" s="75">
        <f t="shared" ca="1" si="35"/>
        <v>0</v>
      </c>
      <c r="V40" s="75">
        <f t="shared" ca="1" si="35"/>
        <v>0</v>
      </c>
      <c r="W40" s="75">
        <f t="shared" ca="1" si="35"/>
        <v>0</v>
      </c>
      <c r="X40" s="75">
        <f t="shared" ca="1" si="35"/>
        <v>0</v>
      </c>
      <c r="Y40" s="75">
        <f t="shared" ca="1" si="35"/>
        <v>0</v>
      </c>
      <c r="Z40" s="75">
        <f t="shared" ca="1" si="35"/>
        <v>0</v>
      </c>
      <c r="AA40" s="75">
        <f t="shared" ca="1" si="35"/>
        <v>0</v>
      </c>
      <c r="AB40" s="75">
        <f t="shared" ca="1" si="35"/>
        <v>0</v>
      </c>
      <c r="AC40" s="3"/>
      <c r="AD40" s="3"/>
      <c r="AE40" s="3"/>
      <c r="AF40" s="3"/>
      <c r="AG40" s="3"/>
      <c r="AH40" s="3"/>
      <c r="AI40" s="3"/>
      <c r="AJ40" s="73"/>
    </row>
    <row r="41" spans="1:36" x14ac:dyDescent="0.25">
      <c r="A41" s="71"/>
      <c r="B41" s="3"/>
      <c r="C41" s="3" t="s">
        <v>271</v>
      </c>
      <c r="D41" s="385"/>
      <c r="E41" s="385"/>
      <c r="F41" s="385"/>
      <c r="G41" s="385"/>
      <c r="H41" s="385"/>
      <c r="I41" s="386">
        <f t="shared" ref="I41:S41" si="36">+IF(I39&gt;0,0,+IF(-I39&lt;I40,I39,IF(I40&lt;=0,0,-I40)))</f>
        <v>0</v>
      </c>
      <c r="J41" s="386">
        <f t="shared" si="36"/>
        <v>0</v>
      </c>
      <c r="K41" s="386">
        <f t="shared" ca="1" si="36"/>
        <v>-56298.080000000002</v>
      </c>
      <c r="L41" s="386">
        <f t="shared" ca="1" si="36"/>
        <v>-27830.081600000001</v>
      </c>
      <c r="M41" s="386">
        <f t="shared" ca="1" si="36"/>
        <v>-30128.843231999999</v>
      </c>
      <c r="N41" s="386">
        <f t="shared" ca="1" si="36"/>
        <v>-26981.200096640001</v>
      </c>
      <c r="O41" s="386">
        <f t="shared" si="36"/>
        <v>0</v>
      </c>
      <c r="P41" s="386">
        <f t="shared" ca="1" si="36"/>
        <v>-21483.023780544256</v>
      </c>
      <c r="Q41" s="386">
        <f t="shared" ca="1" si="36"/>
        <v>-7046.1442561551376</v>
      </c>
      <c r="R41" s="386">
        <f t="shared" ca="1" si="36"/>
        <v>-6582.1671412782416</v>
      </c>
      <c r="S41" s="386">
        <f t="shared" ca="1" si="36"/>
        <v>-44628.128957841691</v>
      </c>
      <c r="T41" s="386">
        <f t="shared" ref="T41:AB41" ca="1" si="37">+IF(T39&gt;0,0,+IF(-T39&lt;T40,T39,IF(T40&lt;=0,0,-T40)))</f>
        <v>0</v>
      </c>
      <c r="U41" s="386">
        <f t="shared" ca="1" si="37"/>
        <v>0</v>
      </c>
      <c r="V41" s="386">
        <f t="shared" ca="1" si="37"/>
        <v>0</v>
      </c>
      <c r="W41" s="386">
        <f t="shared" ca="1" si="37"/>
        <v>0</v>
      </c>
      <c r="X41" s="386">
        <f t="shared" si="37"/>
        <v>0</v>
      </c>
      <c r="Y41" s="386">
        <f t="shared" si="37"/>
        <v>0</v>
      </c>
      <c r="Z41" s="386">
        <f t="shared" ca="1" si="37"/>
        <v>0</v>
      </c>
      <c r="AA41" s="386">
        <f t="shared" ca="1" si="37"/>
        <v>0</v>
      </c>
      <c r="AB41" s="386">
        <f t="shared" ca="1" si="37"/>
        <v>0</v>
      </c>
      <c r="AC41" s="3"/>
      <c r="AD41" s="3"/>
      <c r="AE41" s="3"/>
      <c r="AF41" s="3"/>
      <c r="AG41" s="3"/>
      <c r="AH41" s="3"/>
      <c r="AI41" s="3"/>
      <c r="AJ41" s="73"/>
    </row>
    <row r="42" spans="1:36" x14ac:dyDescent="0.25">
      <c r="A42" s="71"/>
      <c r="B42" s="3"/>
      <c r="C42" s="385"/>
      <c r="D42" s="385"/>
      <c r="E42" s="385"/>
      <c r="F42" s="385"/>
      <c r="G42" s="385"/>
      <c r="H42" s="385"/>
      <c r="I42" s="385"/>
      <c r="J42" s="385"/>
      <c r="K42" s="385"/>
      <c r="L42" s="385"/>
      <c r="M42" s="385"/>
      <c r="N42" s="385"/>
      <c r="O42" s="385"/>
      <c r="P42" s="385"/>
      <c r="Q42" s="385"/>
      <c r="R42" s="385"/>
      <c r="S42" s="385"/>
      <c r="T42" s="385"/>
      <c r="U42" s="385"/>
      <c r="V42" s="385"/>
      <c r="W42" s="385"/>
      <c r="X42" s="385"/>
      <c r="Y42" s="385"/>
      <c r="Z42" s="385"/>
      <c r="AA42" s="385"/>
      <c r="AB42" s="385"/>
      <c r="AC42" s="3"/>
      <c r="AD42" s="3"/>
      <c r="AE42" s="3"/>
      <c r="AF42" s="3"/>
      <c r="AG42" s="3"/>
      <c r="AH42" s="3"/>
      <c r="AI42" s="3"/>
      <c r="AJ42" s="73"/>
    </row>
    <row r="43" spans="1:36" x14ac:dyDescent="0.25">
      <c r="A43" s="71"/>
      <c r="B43" s="3"/>
      <c r="C43" s="3" t="s">
        <v>272</v>
      </c>
      <c r="D43" s="385"/>
      <c r="E43" s="385"/>
      <c r="F43" s="385"/>
      <c r="G43" s="385"/>
      <c r="H43" s="385"/>
      <c r="I43" s="386">
        <f>+I39+I41</f>
        <v>19800</v>
      </c>
      <c r="J43" s="386">
        <f>+J39-J41</f>
        <v>6214</v>
      </c>
      <c r="K43" s="386">
        <f ca="1">+K39-K41</f>
        <v>0</v>
      </c>
      <c r="L43" s="386">
        <f ca="1">+L39-L41</f>
        <v>0</v>
      </c>
      <c r="M43" s="386">
        <f t="shared" ref="M43:AB43" ca="1" si="38">+M39-M41</f>
        <v>0</v>
      </c>
      <c r="N43" s="386">
        <f t="shared" ca="1" si="38"/>
        <v>0</v>
      </c>
      <c r="O43" s="386">
        <f t="shared" si="38"/>
        <v>1932.0159014271994</v>
      </c>
      <c r="P43" s="386">
        <f t="shared" ca="1" si="38"/>
        <v>0</v>
      </c>
      <c r="Q43" s="386">
        <f t="shared" ca="1" si="38"/>
        <v>0</v>
      </c>
      <c r="R43" s="386">
        <f t="shared" ca="1" si="38"/>
        <v>0</v>
      </c>
      <c r="S43" s="386">
        <f t="shared" ca="1" si="38"/>
        <v>-64928.781526262115</v>
      </c>
      <c r="T43" s="386">
        <f t="shared" ca="1" si="38"/>
        <v>-104057.18869378588</v>
      </c>
      <c r="U43" s="386">
        <f t="shared" ca="1" si="38"/>
        <v>-30795.812467661599</v>
      </c>
      <c r="V43" s="386">
        <f t="shared" ca="1" si="38"/>
        <v>-44148.588717014834</v>
      </c>
      <c r="W43" s="386">
        <f t="shared" ca="1" si="38"/>
        <v>-91904.320491355131</v>
      </c>
      <c r="X43" s="386">
        <f t="shared" si="38"/>
        <v>12793.19309881777</v>
      </c>
      <c r="Y43" s="386">
        <f t="shared" si="38"/>
        <v>27181.156960794127</v>
      </c>
      <c r="Z43" s="386">
        <f t="shared" ca="1" si="38"/>
        <v>-16101.219899989988</v>
      </c>
      <c r="AA43" s="386">
        <f t="shared" ca="1" si="38"/>
        <v>-8589.7242979897856</v>
      </c>
      <c r="AB43" s="386">
        <f t="shared" ca="1" si="38"/>
        <v>-267641.1387839496</v>
      </c>
      <c r="AC43" s="3"/>
      <c r="AD43" s="3"/>
      <c r="AE43" s="3"/>
      <c r="AF43" s="3"/>
      <c r="AG43" s="3"/>
      <c r="AH43" s="3"/>
      <c r="AI43" s="3"/>
      <c r="AJ43" s="73"/>
    </row>
    <row r="44" spans="1:36" x14ac:dyDescent="0.25">
      <c r="A44" s="71"/>
      <c r="B44" s="3"/>
      <c r="C44" s="3"/>
      <c r="D44" s="385"/>
      <c r="E44" s="385"/>
      <c r="F44" s="385"/>
      <c r="G44" s="385"/>
      <c r="H44" s="385"/>
      <c r="I44" s="386"/>
      <c r="J44" s="386"/>
      <c r="K44" s="386"/>
      <c r="L44" s="386"/>
      <c r="M44" s="386"/>
      <c r="N44" s="386"/>
      <c r="O44" s="386"/>
      <c r="P44" s="386"/>
      <c r="Q44" s="386"/>
      <c r="R44" s="386"/>
      <c r="S44" s="386"/>
      <c r="T44" s="386"/>
      <c r="U44" s="386"/>
      <c r="V44" s="386"/>
      <c r="W44" s="386"/>
      <c r="X44" s="386"/>
      <c r="Y44" s="386"/>
      <c r="Z44" s="386"/>
      <c r="AA44" s="386"/>
      <c r="AB44" s="386"/>
      <c r="AC44" s="3"/>
      <c r="AD44" s="3"/>
      <c r="AE44" s="3"/>
      <c r="AF44" s="3"/>
      <c r="AG44" s="3"/>
      <c r="AH44" s="3"/>
      <c r="AI44" s="3"/>
      <c r="AJ44" s="73"/>
    </row>
    <row r="45" spans="1:36" x14ac:dyDescent="0.25">
      <c r="A45" s="71"/>
      <c r="B45" s="3"/>
      <c r="C45" s="3" t="s">
        <v>273</v>
      </c>
      <c r="D45" s="385"/>
      <c r="E45" s="385"/>
      <c r="F45" s="385"/>
      <c r="G45" s="385"/>
      <c r="H45" s="385"/>
      <c r="I45" s="386">
        <v>0</v>
      </c>
      <c r="J45" s="386">
        <f>+I47</f>
        <v>19800</v>
      </c>
      <c r="K45" s="386">
        <f t="shared" ref="K45:T45" si="39">+J47</f>
        <v>26014</v>
      </c>
      <c r="L45" s="386">
        <f t="shared" ca="1" si="39"/>
        <v>26014</v>
      </c>
      <c r="M45" s="386">
        <f t="shared" ca="1" si="39"/>
        <v>26014</v>
      </c>
      <c r="N45" s="386">
        <f t="shared" ca="1" si="39"/>
        <v>26014</v>
      </c>
      <c r="O45" s="386">
        <f t="shared" ca="1" si="39"/>
        <v>26014</v>
      </c>
      <c r="P45" s="386">
        <f t="shared" ca="1" si="39"/>
        <v>27946.015901427199</v>
      </c>
      <c r="Q45" s="386">
        <f t="shared" ca="1" si="39"/>
        <v>27946.015901427199</v>
      </c>
      <c r="R45" s="386">
        <f t="shared" ca="1" si="39"/>
        <v>27946.015901427199</v>
      </c>
      <c r="S45" s="386">
        <f t="shared" ca="1" si="39"/>
        <v>27946.015901427199</v>
      </c>
      <c r="T45" s="386">
        <f t="shared" ca="1" si="39"/>
        <v>-36982.765624834916</v>
      </c>
      <c r="U45" s="386">
        <f ca="1">+T47</f>
        <v>-141039.95431862079</v>
      </c>
      <c r="V45" s="386">
        <f t="shared" ref="V45:AB45" ca="1" si="40">+U47</f>
        <v>-171835.76678628239</v>
      </c>
      <c r="W45" s="386">
        <f t="shared" ca="1" si="40"/>
        <v>-215984.35550329724</v>
      </c>
      <c r="X45" s="386">
        <f t="shared" ca="1" si="40"/>
        <v>-307888.67599465238</v>
      </c>
      <c r="Y45" s="386">
        <f t="shared" ca="1" si="40"/>
        <v>-295095.4828958346</v>
      </c>
      <c r="Z45" s="386">
        <f t="shared" ca="1" si="40"/>
        <v>-267914.32593504048</v>
      </c>
      <c r="AA45" s="386">
        <f t="shared" ca="1" si="40"/>
        <v>-284015.5458350305</v>
      </c>
      <c r="AB45" s="386">
        <f t="shared" ca="1" si="40"/>
        <v>-292605.2701330203</v>
      </c>
      <c r="AC45" s="3"/>
      <c r="AD45" s="3"/>
      <c r="AE45" s="3"/>
      <c r="AF45" s="3"/>
      <c r="AG45" s="3"/>
      <c r="AH45" s="3"/>
      <c r="AI45" s="3"/>
      <c r="AJ45" s="73"/>
    </row>
    <row r="46" spans="1:36" x14ac:dyDescent="0.25">
      <c r="A46" s="71"/>
      <c r="B46" s="3"/>
      <c r="C46" s="385" t="s">
        <v>274</v>
      </c>
      <c r="D46" s="385"/>
      <c r="E46" s="385"/>
      <c r="F46" s="385"/>
      <c r="G46" s="385"/>
      <c r="H46" s="385"/>
      <c r="I46" s="387">
        <f>+I43</f>
        <v>19800</v>
      </c>
      <c r="J46" s="387">
        <f>+J43</f>
        <v>6214</v>
      </c>
      <c r="K46" s="387">
        <f t="shared" ref="K46:AB46" ca="1" si="41">+K43</f>
        <v>0</v>
      </c>
      <c r="L46" s="387">
        <f t="shared" ca="1" si="41"/>
        <v>0</v>
      </c>
      <c r="M46" s="387">
        <f t="shared" ca="1" si="41"/>
        <v>0</v>
      </c>
      <c r="N46" s="387">
        <f t="shared" ca="1" si="41"/>
        <v>0</v>
      </c>
      <c r="O46" s="387">
        <f t="shared" si="41"/>
        <v>1932.0159014271994</v>
      </c>
      <c r="P46" s="387">
        <f t="shared" ca="1" si="41"/>
        <v>0</v>
      </c>
      <c r="Q46" s="387">
        <f t="shared" ca="1" si="41"/>
        <v>0</v>
      </c>
      <c r="R46" s="387">
        <f t="shared" ca="1" si="41"/>
        <v>0</v>
      </c>
      <c r="S46" s="387">
        <f t="shared" ca="1" si="41"/>
        <v>-64928.781526262115</v>
      </c>
      <c r="T46" s="387">
        <f t="shared" ca="1" si="41"/>
        <v>-104057.18869378588</v>
      </c>
      <c r="U46" s="387">
        <f t="shared" ca="1" si="41"/>
        <v>-30795.812467661599</v>
      </c>
      <c r="V46" s="387">
        <f t="shared" ca="1" si="41"/>
        <v>-44148.588717014834</v>
      </c>
      <c r="W46" s="387">
        <f t="shared" ca="1" si="41"/>
        <v>-91904.320491355131</v>
      </c>
      <c r="X46" s="387">
        <f t="shared" si="41"/>
        <v>12793.19309881777</v>
      </c>
      <c r="Y46" s="387">
        <f t="shared" si="41"/>
        <v>27181.156960794127</v>
      </c>
      <c r="Z46" s="387">
        <f t="shared" ca="1" si="41"/>
        <v>-16101.219899989988</v>
      </c>
      <c r="AA46" s="387">
        <f t="shared" ca="1" si="41"/>
        <v>-8589.7242979897856</v>
      </c>
      <c r="AB46" s="387">
        <f t="shared" ca="1" si="41"/>
        <v>-267641.1387839496</v>
      </c>
      <c r="AC46" s="3"/>
      <c r="AD46" s="3"/>
      <c r="AE46" s="3"/>
      <c r="AF46" s="3"/>
      <c r="AG46" s="3"/>
      <c r="AH46" s="3"/>
      <c r="AI46" s="3"/>
      <c r="AJ46" s="73"/>
    </row>
    <row r="47" spans="1:36" x14ac:dyDescent="0.25">
      <c r="A47" s="71"/>
      <c r="B47" s="3"/>
      <c r="C47" s="3" t="s">
        <v>275</v>
      </c>
      <c r="D47" s="3"/>
      <c r="E47" s="3"/>
      <c r="F47" s="3"/>
      <c r="G47" s="3"/>
      <c r="H47" s="3"/>
      <c r="I47" s="75">
        <f>+I45+I46</f>
        <v>19800</v>
      </c>
      <c r="J47" s="75">
        <f>+J45+J46</f>
        <v>26014</v>
      </c>
      <c r="K47" s="75">
        <f t="shared" ref="K47:U47" ca="1" si="42">+K45+K46</f>
        <v>26014</v>
      </c>
      <c r="L47" s="75">
        <f t="shared" ca="1" si="42"/>
        <v>26014</v>
      </c>
      <c r="M47" s="75">
        <f t="shared" ca="1" si="42"/>
        <v>26014</v>
      </c>
      <c r="N47" s="75">
        <f t="shared" ca="1" si="42"/>
        <v>26014</v>
      </c>
      <c r="O47" s="75">
        <f t="shared" ca="1" si="42"/>
        <v>27946.015901427199</v>
      </c>
      <c r="P47" s="75">
        <f t="shared" ca="1" si="42"/>
        <v>27946.015901427199</v>
      </c>
      <c r="Q47" s="75">
        <f t="shared" ca="1" si="42"/>
        <v>27946.015901427199</v>
      </c>
      <c r="R47" s="75">
        <f t="shared" ca="1" si="42"/>
        <v>27946.015901427199</v>
      </c>
      <c r="S47" s="75">
        <f t="shared" ca="1" si="42"/>
        <v>-36982.765624834916</v>
      </c>
      <c r="T47" s="75">
        <f t="shared" ca="1" si="42"/>
        <v>-141039.95431862079</v>
      </c>
      <c r="U47" s="75">
        <f t="shared" ca="1" si="42"/>
        <v>-171835.76678628239</v>
      </c>
      <c r="V47" s="75">
        <f t="shared" ref="V47:AB47" ca="1" si="43">U47++V39</f>
        <v>-215984.35550329724</v>
      </c>
      <c r="W47" s="75">
        <f t="shared" ca="1" si="43"/>
        <v>-307888.67599465238</v>
      </c>
      <c r="X47" s="75">
        <f t="shared" ca="1" si="43"/>
        <v>-295095.4828958346</v>
      </c>
      <c r="Y47" s="75">
        <f t="shared" ca="1" si="43"/>
        <v>-267914.32593504048</v>
      </c>
      <c r="Z47" s="75">
        <f t="shared" ca="1" si="43"/>
        <v>-284015.5458350305</v>
      </c>
      <c r="AA47" s="75">
        <f t="shared" ca="1" si="43"/>
        <v>-292605.2701330203</v>
      </c>
      <c r="AB47" s="75">
        <f t="shared" ca="1" si="43"/>
        <v>-560246.4089169699</v>
      </c>
      <c r="AC47" s="3"/>
      <c r="AD47" s="3"/>
      <c r="AE47" s="3"/>
      <c r="AF47" s="3"/>
      <c r="AG47" s="3"/>
      <c r="AH47" s="3"/>
      <c r="AI47" s="3"/>
      <c r="AJ47" s="73"/>
    </row>
    <row r="48" spans="1:36" x14ac:dyDescent="0.25">
      <c r="A48" s="71"/>
      <c r="B48" s="3"/>
      <c r="C48" s="385"/>
      <c r="D48" s="385"/>
      <c r="E48" s="385"/>
      <c r="F48" s="385"/>
      <c r="G48" s="385"/>
      <c r="H48" s="385"/>
      <c r="I48" s="385"/>
      <c r="J48" s="75"/>
      <c r="K48" s="3"/>
      <c r="L48" s="3"/>
      <c r="M48" s="3"/>
      <c r="N48" s="3"/>
      <c r="O48" s="3"/>
      <c r="P48" s="3"/>
      <c r="Q48" s="3"/>
      <c r="R48" s="3"/>
      <c r="S48" s="3"/>
      <c r="T48" s="3"/>
      <c r="U48" s="3"/>
      <c r="V48" s="3"/>
      <c r="W48" s="3"/>
      <c r="X48" s="3"/>
      <c r="Y48" s="3"/>
      <c r="Z48" s="3"/>
      <c r="AA48" s="3"/>
      <c r="AB48" s="3"/>
      <c r="AC48" s="3"/>
      <c r="AD48" s="3"/>
      <c r="AE48" s="3"/>
      <c r="AF48" s="3"/>
      <c r="AG48" s="3"/>
      <c r="AH48" s="3"/>
      <c r="AI48" s="3"/>
      <c r="AJ48" s="73"/>
    </row>
    <row r="49" spans="1:36" x14ac:dyDescent="0.25">
      <c r="A49" s="77"/>
      <c r="B49" s="78"/>
      <c r="C49" s="78" t="s">
        <v>276</v>
      </c>
      <c r="D49" s="78"/>
      <c r="E49" s="78"/>
      <c r="F49" s="78"/>
      <c r="G49" s="78"/>
      <c r="H49" s="78"/>
      <c r="I49" s="388">
        <f ca="1">+I35+I47</f>
        <v>221800</v>
      </c>
      <c r="J49" s="388">
        <f t="shared" ref="J49:AB49" ca="1" si="44">+J35+J47</f>
        <v>230232</v>
      </c>
      <c r="K49" s="388">
        <f t="shared" ca="1" si="44"/>
        <v>177387.40000000002</v>
      </c>
      <c r="L49" s="388">
        <f t="shared" ca="1" si="44"/>
        <v>152218.12940000001</v>
      </c>
      <c r="M49" s="388">
        <f t="shared" ca="1" si="44"/>
        <v>124372.55810900001</v>
      </c>
      <c r="N49" s="388">
        <f t="shared" ca="1" si="44"/>
        <v>99256.946383995004</v>
      </c>
      <c r="O49" s="388">
        <f t="shared" ca="1" si="44"/>
        <v>102677.81648118212</v>
      </c>
      <c r="P49" s="388">
        <f t="shared" ca="1" si="44"/>
        <v>82734.95994785559</v>
      </c>
      <c r="Q49" s="388">
        <f t="shared" ca="1" si="44"/>
        <v>76929.840090918296</v>
      </c>
      <c r="R49" s="388">
        <f t="shared" ca="1" si="44"/>
        <v>71501.620551003842</v>
      </c>
      <c r="S49" s="388">
        <f t="shared" ca="1" si="44"/>
        <v>-36982.765624834916</v>
      </c>
      <c r="T49" s="388">
        <f t="shared" ca="1" si="44"/>
        <v>-141039.95431862079</v>
      </c>
      <c r="U49" s="388">
        <f t="shared" ca="1" si="44"/>
        <v>-171835.76678628239</v>
      </c>
      <c r="V49" s="388">
        <f t="shared" ca="1" si="44"/>
        <v>-215984.35550329724</v>
      </c>
      <c r="W49" s="388">
        <f t="shared" ca="1" si="44"/>
        <v>-307888.67599465238</v>
      </c>
      <c r="X49" s="388">
        <f t="shared" ca="1" si="44"/>
        <v>-295095.4828958346</v>
      </c>
      <c r="Y49" s="388">
        <f t="shared" ca="1" si="44"/>
        <v>-267914.32593504048</v>
      </c>
      <c r="Z49" s="388">
        <f t="shared" ca="1" si="44"/>
        <v>-284015.5458350305</v>
      </c>
      <c r="AA49" s="388">
        <f t="shared" ca="1" si="44"/>
        <v>-292605.2701330203</v>
      </c>
      <c r="AB49" s="388">
        <f t="shared" ca="1" si="44"/>
        <v>-560246.4089169699</v>
      </c>
      <c r="AC49" s="78"/>
      <c r="AD49" s="78"/>
      <c r="AE49" s="78"/>
      <c r="AF49" s="78"/>
      <c r="AG49" s="78"/>
      <c r="AH49" s="78"/>
      <c r="AI49" s="78"/>
      <c r="AJ49" s="79"/>
    </row>
    <row r="50" spans="1:36" x14ac:dyDescent="0.25">
      <c r="A50" s="410"/>
      <c r="B50" s="411"/>
      <c r="C50" s="411" t="s">
        <v>277</v>
      </c>
      <c r="D50" s="411"/>
      <c r="E50" s="411"/>
      <c r="F50" s="411"/>
      <c r="G50" s="411"/>
      <c r="H50" s="411"/>
      <c r="I50" s="412">
        <f t="shared" ref="I50:AB50" ca="1" si="45">+I13</f>
        <v>221800</v>
      </c>
      <c r="J50" s="412">
        <f t="shared" ca="1" si="45"/>
        <v>230232</v>
      </c>
      <c r="K50" s="412">
        <f t="shared" ca="1" si="45"/>
        <v>177387.4</v>
      </c>
      <c r="L50" s="412">
        <f t="shared" ca="1" si="45"/>
        <v>152218.12939999998</v>
      </c>
      <c r="M50" s="412">
        <f t="shared" ca="1" si="45"/>
        <v>124372.55810899998</v>
      </c>
      <c r="N50" s="412">
        <f t="shared" ca="1" si="45"/>
        <v>99256.946383994975</v>
      </c>
      <c r="O50" s="412">
        <f t="shared" ca="1" si="45"/>
        <v>102677.81648118209</v>
      </c>
      <c r="P50" s="412">
        <f t="shared" ca="1" si="45"/>
        <v>82734.959947855561</v>
      </c>
      <c r="Q50" s="412">
        <f t="shared" ca="1" si="45"/>
        <v>76929.840090918253</v>
      </c>
      <c r="R50" s="412">
        <f t="shared" ca="1" si="45"/>
        <v>71501.620551003783</v>
      </c>
      <c r="S50" s="412">
        <f t="shared" ca="1" si="45"/>
        <v>-36982.765624834967</v>
      </c>
      <c r="T50" s="412">
        <f t="shared" ca="1" si="45"/>
        <v>-141039.95431862085</v>
      </c>
      <c r="U50" s="412">
        <f t="shared" ca="1" si="45"/>
        <v>-171835.76678628245</v>
      </c>
      <c r="V50" s="412">
        <f t="shared" ca="1" si="45"/>
        <v>-215984.35550329729</v>
      </c>
      <c r="W50" s="412">
        <f t="shared" ca="1" si="45"/>
        <v>-307888.67599465244</v>
      </c>
      <c r="X50" s="412">
        <f t="shared" ca="1" si="45"/>
        <v>-295095.48289583466</v>
      </c>
      <c r="Y50" s="412">
        <f t="shared" ca="1" si="45"/>
        <v>-267914.32593504054</v>
      </c>
      <c r="Z50" s="412">
        <f t="shared" ca="1" si="45"/>
        <v>-284015.5458350305</v>
      </c>
      <c r="AA50" s="412">
        <f t="shared" ca="1" si="45"/>
        <v>-292605.2701330203</v>
      </c>
      <c r="AB50" s="412">
        <f t="shared" ca="1" si="45"/>
        <v>-560246.4089169699</v>
      </c>
      <c r="AC50" s="411"/>
      <c r="AD50" s="411"/>
      <c r="AE50" s="411"/>
      <c r="AF50" s="411"/>
      <c r="AG50" s="411"/>
      <c r="AH50" s="411"/>
      <c r="AI50" s="411"/>
      <c r="AJ50" s="413"/>
    </row>
    <row r="51" spans="1:36" x14ac:dyDescent="0.25">
      <c r="A51" s="3"/>
      <c r="B51" s="3"/>
      <c r="C51" s="3"/>
      <c r="D51" s="3"/>
      <c r="E51" s="3"/>
      <c r="F51" s="3"/>
      <c r="G51" s="3"/>
      <c r="H51" s="3"/>
      <c r="I51" s="75"/>
      <c r="J51" s="75"/>
      <c r="K51" s="75"/>
      <c r="L51" s="75"/>
      <c r="M51" s="75"/>
      <c r="N51" s="75"/>
      <c r="O51" s="75"/>
      <c r="P51" s="75"/>
      <c r="Q51" s="75"/>
      <c r="R51" s="75"/>
      <c r="S51" s="75"/>
      <c r="T51" s="75"/>
      <c r="U51" s="75"/>
      <c r="V51" s="75"/>
      <c r="W51" s="75"/>
      <c r="X51" s="75"/>
      <c r="Y51" s="75"/>
      <c r="Z51" s="75"/>
      <c r="AA51" s="75"/>
      <c r="AB51" s="75"/>
      <c r="AC51" s="3"/>
      <c r="AD51" s="3"/>
      <c r="AE51" s="3"/>
      <c r="AF51" s="3"/>
      <c r="AG51" s="3"/>
      <c r="AH51" s="3"/>
      <c r="AI51" s="3"/>
      <c r="AJ51" s="3"/>
    </row>
    <row r="52" spans="1:36" x14ac:dyDescent="0.25">
      <c r="A52" s="385"/>
      <c r="B52" s="385"/>
      <c r="C52" s="385" t="s">
        <v>278</v>
      </c>
      <c r="D52" s="385"/>
      <c r="E52" s="385"/>
      <c r="F52" s="385"/>
      <c r="G52" s="385"/>
      <c r="H52" s="385"/>
      <c r="I52" s="386">
        <f t="shared" ref="I52:AB52" ca="1" si="46">+I30+I32+I37</f>
        <v>221800</v>
      </c>
      <c r="J52" s="386">
        <f t="shared" ca="1" si="46"/>
        <v>22414</v>
      </c>
      <c r="K52" s="386">
        <f t="shared" ca="1" si="46"/>
        <v>24053.399999999998</v>
      </c>
      <c r="L52" s="386">
        <f t="shared" ca="1" si="46"/>
        <v>23672.729399999997</v>
      </c>
      <c r="M52" s="386">
        <f t="shared" ca="1" si="46"/>
        <v>23715.428709</v>
      </c>
      <c r="N52" s="386">
        <f t="shared" ca="1" si="46"/>
        <v>23726.388274994999</v>
      </c>
      <c r="O52" s="386">
        <f t="shared" ca="1" si="46"/>
        <v>23786.870097187122</v>
      </c>
      <c r="P52" s="386">
        <f t="shared" ca="1" si="46"/>
        <v>24284.143466673475</v>
      </c>
      <c r="Q52" s="386">
        <f t="shared" ca="1" si="46"/>
        <v>24439.880143062695</v>
      </c>
      <c r="R52" s="386">
        <f t="shared" ca="1" si="46"/>
        <v>24816.780460085531</v>
      </c>
      <c r="S52" s="386">
        <f t="shared" ca="1" si="46"/>
        <v>25208.61382416125</v>
      </c>
      <c r="T52" s="386">
        <f t="shared" ca="1" si="46"/>
        <v>24618.81130621412</v>
      </c>
      <c r="U52" s="386">
        <f t="shared" ca="1" si="46"/>
        <v>25111.187532338401</v>
      </c>
      <c r="V52" s="386">
        <f t="shared" ca="1" si="46"/>
        <v>25613.411282985166</v>
      </c>
      <c r="W52" s="386">
        <f t="shared" ca="1" si="46"/>
        <v>26125.679508644873</v>
      </c>
      <c r="X52" s="386">
        <f t="shared" ca="1" si="46"/>
        <v>26648.19309881777</v>
      </c>
      <c r="Y52" s="386">
        <f t="shared" ca="1" si="46"/>
        <v>27181.156960794127</v>
      </c>
      <c r="Z52" s="386">
        <f t="shared" ca="1" si="46"/>
        <v>27724.780100010012</v>
      </c>
      <c r="AA52" s="386">
        <f t="shared" ca="1" si="46"/>
        <v>28279.275702010214</v>
      </c>
      <c r="AB52" s="386">
        <f t="shared" ca="1" si="46"/>
        <v>28844.861216050416</v>
      </c>
      <c r="AC52" s="386">
        <f ca="1">SUM(I52:AB52)</f>
        <v>702065.5910830301</v>
      </c>
      <c r="AD52" s="385"/>
      <c r="AE52" s="385"/>
      <c r="AF52" s="385"/>
      <c r="AG52" s="385"/>
      <c r="AH52" s="385"/>
      <c r="AI52" s="385"/>
      <c r="AJ52" s="385"/>
    </row>
    <row r="53" spans="1:36" x14ac:dyDescent="0.25">
      <c r="A53" s="385"/>
      <c r="B53" s="385"/>
      <c r="C53" s="385" t="s">
        <v>279</v>
      </c>
      <c r="D53" s="385"/>
      <c r="E53" s="385"/>
      <c r="F53" s="385"/>
      <c r="G53" s="385"/>
      <c r="H53" s="385"/>
      <c r="I53" s="386">
        <f ca="1">+I52</f>
        <v>221800</v>
      </c>
      <c r="J53" s="386">
        <f ca="1">+I53+J52</f>
        <v>244214</v>
      </c>
      <c r="K53" s="386">
        <f t="shared" ref="K53:AB53" ca="1" si="47">+J53+K52</f>
        <v>268267.40000000002</v>
      </c>
      <c r="L53" s="386">
        <f t="shared" ca="1" si="47"/>
        <v>291940.12940000003</v>
      </c>
      <c r="M53" s="386">
        <f t="shared" ca="1" si="47"/>
        <v>315655.55810900003</v>
      </c>
      <c r="N53" s="386">
        <f t="shared" ca="1" si="47"/>
        <v>339381.946383995</v>
      </c>
      <c r="O53" s="386">
        <f t="shared" ca="1" si="47"/>
        <v>363168.81648118212</v>
      </c>
      <c r="P53" s="386">
        <f t="shared" ca="1" si="47"/>
        <v>387452.95994785562</v>
      </c>
      <c r="Q53" s="386">
        <f t="shared" ca="1" si="47"/>
        <v>411892.8400909183</v>
      </c>
      <c r="R53" s="386">
        <f t="shared" ca="1" si="47"/>
        <v>436709.62055100384</v>
      </c>
      <c r="S53" s="386">
        <f t="shared" ca="1" si="47"/>
        <v>461918.23437516508</v>
      </c>
      <c r="T53" s="386">
        <f t="shared" ca="1" si="47"/>
        <v>486537.04568137921</v>
      </c>
      <c r="U53" s="386">
        <f t="shared" ca="1" si="47"/>
        <v>511648.23321371758</v>
      </c>
      <c r="V53" s="386">
        <f t="shared" ca="1" si="47"/>
        <v>537261.64449670271</v>
      </c>
      <c r="W53" s="386">
        <f t="shared" ca="1" si="47"/>
        <v>563387.32400534756</v>
      </c>
      <c r="X53" s="386">
        <f t="shared" ca="1" si="47"/>
        <v>590035.51710416528</v>
      </c>
      <c r="Y53" s="386">
        <f t="shared" ca="1" si="47"/>
        <v>617216.6740649594</v>
      </c>
      <c r="Z53" s="386">
        <f t="shared" ca="1" si="47"/>
        <v>644941.45416496939</v>
      </c>
      <c r="AA53" s="386">
        <f t="shared" ca="1" si="47"/>
        <v>673220.72986697964</v>
      </c>
      <c r="AB53" s="386">
        <f t="shared" ca="1" si="47"/>
        <v>702065.5910830301</v>
      </c>
      <c r="AC53" s="386"/>
      <c r="AD53" s="385"/>
      <c r="AE53" s="385"/>
      <c r="AF53" s="385"/>
      <c r="AG53" s="385"/>
      <c r="AH53" s="385"/>
      <c r="AI53" s="385"/>
      <c r="AJ53" s="385"/>
    </row>
    <row r="54" spans="1:36" x14ac:dyDescent="0.25">
      <c r="A54" s="385"/>
      <c r="B54" s="385"/>
      <c r="C54" s="385" t="s">
        <v>280</v>
      </c>
      <c r="D54" s="385"/>
      <c r="E54" s="385"/>
      <c r="F54" s="385"/>
      <c r="G54" s="385"/>
      <c r="H54" s="385"/>
      <c r="I54" s="386">
        <f>+I38</f>
        <v>0</v>
      </c>
      <c r="J54" s="386">
        <f>+I54+J38</f>
        <v>-13982</v>
      </c>
      <c r="K54" s="386">
        <f t="shared" ref="K54:AB54" si="48">+J54+K38</f>
        <v>-90880</v>
      </c>
      <c r="L54" s="386">
        <f t="shared" si="48"/>
        <v>-139722</v>
      </c>
      <c r="M54" s="386">
        <f t="shared" si="48"/>
        <v>-191283</v>
      </c>
      <c r="N54" s="386">
        <f t="shared" si="48"/>
        <v>-240125</v>
      </c>
      <c r="O54" s="386">
        <f t="shared" si="48"/>
        <v>-260491</v>
      </c>
      <c r="P54" s="386">
        <f t="shared" si="48"/>
        <v>-304718</v>
      </c>
      <c r="Q54" s="386">
        <f t="shared" si="48"/>
        <v>-334963</v>
      </c>
      <c r="R54" s="386">
        <f t="shared" si="48"/>
        <v>-365208</v>
      </c>
      <c r="S54" s="386">
        <f t="shared" si="48"/>
        <v>-498901</v>
      </c>
      <c r="T54" s="386">
        <f t="shared" si="48"/>
        <v>-627577</v>
      </c>
      <c r="U54" s="386">
        <f t="shared" si="48"/>
        <v>-683484</v>
      </c>
      <c r="V54" s="386">
        <f t="shared" si="48"/>
        <v>-753246</v>
      </c>
      <c r="W54" s="386">
        <f t="shared" si="48"/>
        <v>-871276</v>
      </c>
      <c r="X54" s="386">
        <f t="shared" si="48"/>
        <v>-885131</v>
      </c>
      <c r="Y54" s="386">
        <f t="shared" si="48"/>
        <v>-885131</v>
      </c>
      <c r="Z54" s="386">
        <f t="shared" si="48"/>
        <v>-928957</v>
      </c>
      <c r="AA54" s="386">
        <f t="shared" si="48"/>
        <v>-965826</v>
      </c>
      <c r="AB54" s="386">
        <f t="shared" si="48"/>
        <v>-1262312</v>
      </c>
      <c r="AC54" s="386"/>
      <c r="AD54" s="385"/>
      <c r="AE54" s="385"/>
      <c r="AF54" s="385"/>
      <c r="AG54" s="385"/>
      <c r="AH54" s="385"/>
      <c r="AI54" s="385"/>
      <c r="AJ54" s="385"/>
    </row>
    <row r="55" spans="1:36" x14ac:dyDescent="0.25">
      <c r="A55" s="385"/>
      <c r="B55" s="385"/>
      <c r="C55" s="385" t="s">
        <v>281</v>
      </c>
      <c r="D55" s="385"/>
      <c r="E55" s="385"/>
      <c r="F55" s="385"/>
      <c r="G55" s="385"/>
      <c r="H55" s="385"/>
      <c r="I55" s="386">
        <f ca="1">+I53+I54</f>
        <v>221800</v>
      </c>
      <c r="J55" s="386">
        <f t="shared" ref="J55:AB55" ca="1" si="49">+J53+J54</f>
        <v>230232</v>
      </c>
      <c r="K55" s="386">
        <f t="shared" ca="1" si="49"/>
        <v>177387.40000000002</v>
      </c>
      <c r="L55" s="386">
        <f t="shared" ca="1" si="49"/>
        <v>152218.12940000003</v>
      </c>
      <c r="M55" s="386">
        <f t="shared" ca="1" si="49"/>
        <v>124372.55810900003</v>
      </c>
      <c r="N55" s="386">
        <f t="shared" ca="1" si="49"/>
        <v>99256.946383995004</v>
      </c>
      <c r="O55" s="386">
        <f t="shared" ca="1" si="49"/>
        <v>102677.81648118212</v>
      </c>
      <c r="P55" s="386">
        <f t="shared" ca="1" si="49"/>
        <v>82734.959947855619</v>
      </c>
      <c r="Q55" s="386">
        <f t="shared" ca="1" si="49"/>
        <v>76929.840090918296</v>
      </c>
      <c r="R55" s="386">
        <f t="shared" ca="1" si="49"/>
        <v>71501.620551003842</v>
      </c>
      <c r="S55" s="386">
        <f t="shared" ca="1" si="49"/>
        <v>-36982.765624834923</v>
      </c>
      <c r="T55" s="386">
        <f t="shared" ca="1" si="49"/>
        <v>-141039.95431862079</v>
      </c>
      <c r="U55" s="386">
        <f t="shared" ca="1" si="49"/>
        <v>-171835.76678628242</v>
      </c>
      <c r="V55" s="386">
        <f t="shared" ca="1" si="49"/>
        <v>-215984.35550329729</v>
      </c>
      <c r="W55" s="386">
        <f t="shared" ca="1" si="49"/>
        <v>-307888.67599465244</v>
      </c>
      <c r="X55" s="386">
        <f t="shared" ca="1" si="49"/>
        <v>-295095.48289583472</v>
      </c>
      <c r="Y55" s="386">
        <f t="shared" ca="1" si="49"/>
        <v>-267914.3259350406</v>
      </c>
      <c r="Z55" s="386">
        <f t="shared" ca="1" si="49"/>
        <v>-284015.54583503061</v>
      </c>
      <c r="AA55" s="386">
        <f t="shared" ca="1" si="49"/>
        <v>-292605.27013302036</v>
      </c>
      <c r="AB55" s="386">
        <f t="shared" ca="1" si="49"/>
        <v>-560246.4089169699</v>
      </c>
      <c r="AC55" s="386"/>
      <c r="AD55" s="385"/>
      <c r="AE55" s="385"/>
      <c r="AF55" s="385"/>
      <c r="AG55" s="385"/>
      <c r="AH55" s="385"/>
      <c r="AI55" s="385"/>
      <c r="AJ55" s="385"/>
    </row>
    <row r="56" spans="1:36" x14ac:dyDescent="0.25">
      <c r="A56" s="385"/>
      <c r="B56" s="385"/>
      <c r="C56" s="385" t="s">
        <v>282</v>
      </c>
      <c r="D56" s="385"/>
      <c r="E56" s="385"/>
      <c r="F56" s="385"/>
      <c r="G56" s="385"/>
      <c r="H56" s="385"/>
      <c r="I56" s="386"/>
      <c r="J56" s="386">
        <f ca="1">+J55-I55</f>
        <v>8432</v>
      </c>
      <c r="K56" s="386">
        <f t="shared" ref="K56:AB56" ca="1" si="50">+K55-J55</f>
        <v>-52844.599999999977</v>
      </c>
      <c r="L56" s="386">
        <f t="shared" ca="1" si="50"/>
        <v>-25169.270599999989</v>
      </c>
      <c r="M56" s="386">
        <f t="shared" ca="1" si="50"/>
        <v>-27845.571291</v>
      </c>
      <c r="N56" s="386">
        <f t="shared" ca="1" si="50"/>
        <v>-25115.61172500503</v>
      </c>
      <c r="O56" s="386">
        <f t="shared" ca="1" si="50"/>
        <v>3420.8700971871149</v>
      </c>
      <c r="P56" s="386">
        <f t="shared" ca="1" si="50"/>
        <v>-19942.8565333265</v>
      </c>
      <c r="Q56" s="386">
        <f t="shared" ca="1" si="50"/>
        <v>-5805.1198569373228</v>
      </c>
      <c r="R56" s="386">
        <f t="shared" ca="1" si="50"/>
        <v>-5428.2195399144548</v>
      </c>
      <c r="S56" s="386">
        <f t="shared" ca="1" si="50"/>
        <v>-108484.38617583876</v>
      </c>
      <c r="T56" s="386">
        <f t="shared" ca="1" si="50"/>
        <v>-104057.18869378587</v>
      </c>
      <c r="U56" s="386">
        <f t="shared" ca="1" si="50"/>
        <v>-30795.812467661628</v>
      </c>
      <c r="V56" s="386">
        <f t="shared" ca="1" si="50"/>
        <v>-44148.588717014878</v>
      </c>
      <c r="W56" s="386">
        <f t="shared" ca="1" si="50"/>
        <v>-91904.320491355145</v>
      </c>
      <c r="X56" s="386">
        <f t="shared" ca="1" si="50"/>
        <v>12793.193098817719</v>
      </c>
      <c r="Y56" s="386">
        <f t="shared" ca="1" si="50"/>
        <v>27181.15696079412</v>
      </c>
      <c r="Z56" s="386">
        <f t="shared" ca="1" si="50"/>
        <v>-16101.219899990014</v>
      </c>
      <c r="AA56" s="386">
        <f t="shared" ca="1" si="50"/>
        <v>-8589.7242979897419</v>
      </c>
      <c r="AB56" s="386">
        <f t="shared" ca="1" si="50"/>
        <v>-267641.13878394954</v>
      </c>
      <c r="AC56" s="386"/>
      <c r="AD56" s="385"/>
      <c r="AE56" s="385"/>
      <c r="AF56" s="385"/>
      <c r="AG56" s="385"/>
      <c r="AH56" s="385"/>
      <c r="AI56" s="385"/>
      <c r="AJ56" s="385"/>
    </row>
    <row r="57" spans="1:36" x14ac:dyDescent="0.25">
      <c r="A57" s="385"/>
      <c r="B57" s="385"/>
      <c r="C57" s="385"/>
      <c r="D57" s="385"/>
      <c r="E57" s="385"/>
      <c r="F57" s="385"/>
      <c r="G57" s="385"/>
      <c r="H57" s="385"/>
      <c r="I57" s="386"/>
      <c r="J57" s="386"/>
      <c r="K57" s="386"/>
      <c r="L57" s="386"/>
      <c r="M57" s="386"/>
      <c r="N57" s="386"/>
      <c r="O57" s="386"/>
      <c r="P57" s="386"/>
      <c r="Q57" s="386"/>
      <c r="R57" s="386"/>
      <c r="S57" s="386"/>
      <c r="T57" s="386"/>
      <c r="U57" s="386"/>
      <c r="V57" s="386"/>
      <c r="W57" s="386"/>
      <c r="X57" s="386"/>
      <c r="Y57" s="386"/>
      <c r="Z57" s="386"/>
      <c r="AA57" s="386"/>
      <c r="AB57" s="386"/>
      <c r="AC57" s="386"/>
      <c r="AD57" s="385"/>
      <c r="AE57" s="385"/>
      <c r="AF57" s="385"/>
      <c r="AG57" s="385"/>
      <c r="AH57" s="385"/>
      <c r="AI57" s="385"/>
      <c r="AJ57" s="385"/>
    </row>
    <row r="58" spans="1:36" x14ac:dyDescent="0.25">
      <c r="A58" s="385"/>
      <c r="B58" s="385"/>
      <c r="C58" s="385" t="s">
        <v>283</v>
      </c>
      <c r="D58" s="385"/>
      <c r="E58" s="385"/>
      <c r="F58" s="385"/>
      <c r="G58" s="385"/>
      <c r="H58" s="385"/>
      <c r="I58" s="414">
        <f ca="1">+IF(ISERR(+I53/-I54-1)=TRUE,0,+I53/-I54-1)</f>
        <v>0</v>
      </c>
      <c r="J58" s="414">
        <f ca="1">+IF(ISERR(+J53/-J54-1)=TRUE,0,+J53/-J54-1)</f>
        <v>16.466313832069805</v>
      </c>
      <c r="K58" s="414">
        <f t="shared" ref="K58:AB58" ca="1" si="51">+IF(ISERR(+K53/-K54-1)=TRUE,0,+K53/-K54-1)</f>
        <v>1.951886003521127</v>
      </c>
      <c r="L58" s="414">
        <f t="shared" ca="1" si="51"/>
        <v>1.0894356608121845</v>
      </c>
      <c r="M58" s="414">
        <f t="shared" ca="1" si="51"/>
        <v>0.65020183763847306</v>
      </c>
      <c r="N58" s="414">
        <f t="shared" ca="1" si="51"/>
        <v>0.41335532070377923</v>
      </c>
      <c r="O58" s="414">
        <f t="shared" ca="1" si="51"/>
        <v>0.3941703033163606</v>
      </c>
      <c r="P58" s="414">
        <f t="shared" ca="1" si="51"/>
        <v>0.27151320219959318</v>
      </c>
      <c r="Q58" s="414">
        <f t="shared" ca="1" si="51"/>
        <v>0.22966667987484679</v>
      </c>
      <c r="R58" s="414">
        <f t="shared" ca="1" si="51"/>
        <v>0.19578328117402632</v>
      </c>
      <c r="S58" s="414">
        <f t="shared" ca="1" si="51"/>
        <v>-7.4128465617096184E-2</v>
      </c>
      <c r="T58" s="414">
        <f t="shared" ca="1" si="51"/>
        <v>-0.22473729011519028</v>
      </c>
      <c r="U58" s="414">
        <f t="shared" ca="1" si="51"/>
        <v>-0.25141154260565346</v>
      </c>
      <c r="V58" s="414">
        <f t="shared" ca="1" si="51"/>
        <v>-0.28673813800975678</v>
      </c>
      <c r="W58" s="414">
        <f t="shared" ca="1" si="51"/>
        <v>-0.35337674398772889</v>
      </c>
      <c r="X58" s="414">
        <f t="shared" ca="1" si="51"/>
        <v>-0.33339187407946924</v>
      </c>
      <c r="Y58" s="414">
        <f t="shared" ca="1" si="51"/>
        <v>-0.30268324794300572</v>
      </c>
      <c r="Z58" s="414">
        <f t="shared" ca="1" si="51"/>
        <v>-0.30573594454321418</v>
      </c>
      <c r="AA58" s="414">
        <f t="shared" ca="1" si="51"/>
        <v>-0.30295857652726299</v>
      </c>
      <c r="AB58" s="414">
        <f t="shared" ca="1" si="51"/>
        <v>-0.44382562228432421</v>
      </c>
      <c r="AC58" s="385"/>
      <c r="AD58" s="385"/>
      <c r="AE58" s="385"/>
      <c r="AF58" s="385"/>
      <c r="AG58" s="385"/>
      <c r="AH58" s="385"/>
      <c r="AI58" s="385"/>
      <c r="AJ58" s="385"/>
    </row>
    <row r="59" spans="1:36" x14ac:dyDescent="0.25">
      <c r="A59" s="385"/>
      <c r="B59" s="385"/>
      <c r="C59" s="385" t="s">
        <v>284</v>
      </c>
      <c r="D59" s="385"/>
      <c r="E59" s="385"/>
      <c r="F59" s="385"/>
      <c r="G59" s="385"/>
      <c r="H59" s="385"/>
      <c r="I59" s="414"/>
      <c r="J59" s="414">
        <f ca="1">+J58-I58</f>
        <v>16.466313832069805</v>
      </c>
      <c r="K59" s="414">
        <f t="shared" ref="K59:AB59" ca="1" si="52">+K58-J58</f>
        <v>-14.514427828548678</v>
      </c>
      <c r="L59" s="414">
        <f t="shared" ca="1" si="52"/>
        <v>-0.8624503427089425</v>
      </c>
      <c r="M59" s="414">
        <f t="shared" ca="1" si="52"/>
        <v>-0.4392338231737114</v>
      </c>
      <c r="N59" s="414">
        <f t="shared" ca="1" si="52"/>
        <v>-0.23684651693469383</v>
      </c>
      <c r="O59" s="414">
        <f t="shared" ca="1" si="52"/>
        <v>-1.9185017387418624E-2</v>
      </c>
      <c r="P59" s="414">
        <f t="shared" ca="1" si="52"/>
        <v>-0.12265710111676742</v>
      </c>
      <c r="Q59" s="414">
        <f t="shared" ca="1" si="52"/>
        <v>-4.1846522324746394E-2</v>
      </c>
      <c r="R59" s="414">
        <f t="shared" ca="1" si="52"/>
        <v>-3.3883398700820466E-2</v>
      </c>
      <c r="S59" s="414">
        <f t="shared" ca="1" si="52"/>
        <v>-0.26991174679112251</v>
      </c>
      <c r="T59" s="414">
        <f t="shared" ca="1" si="52"/>
        <v>-0.1506088244980941</v>
      </c>
      <c r="U59" s="414">
        <f t="shared" ca="1" si="52"/>
        <v>-2.6674252490463179E-2</v>
      </c>
      <c r="V59" s="414">
        <f t="shared" ca="1" si="52"/>
        <v>-3.5326595404103323E-2</v>
      </c>
      <c r="W59" s="414">
        <f t="shared" ca="1" si="52"/>
        <v>-6.663860597797211E-2</v>
      </c>
      <c r="X59" s="414">
        <f t="shared" ca="1" si="52"/>
        <v>1.998486990825965E-2</v>
      </c>
      <c r="Y59" s="414">
        <f t="shared" ca="1" si="52"/>
        <v>3.0708626136463524E-2</v>
      </c>
      <c r="Z59" s="414">
        <f t="shared" ca="1" si="52"/>
        <v>-3.0526966002084599E-3</v>
      </c>
      <c r="AA59" s="414">
        <f t="shared" ca="1" si="52"/>
        <v>2.7773680159511871E-3</v>
      </c>
      <c r="AB59" s="414">
        <f t="shared" ca="1" si="52"/>
        <v>-0.14086704575706122</v>
      </c>
      <c r="AC59" s="385"/>
      <c r="AD59" s="385"/>
      <c r="AE59" s="385"/>
      <c r="AF59" s="385"/>
      <c r="AG59" s="385"/>
      <c r="AH59" s="385"/>
      <c r="AI59" s="385"/>
      <c r="AJ59" s="385"/>
    </row>
    <row r="60" spans="1:36" x14ac:dyDescent="0.25">
      <c r="A60" s="385"/>
      <c r="B60" s="385"/>
      <c r="C60" s="385"/>
      <c r="D60" s="385"/>
      <c r="E60" s="385"/>
      <c r="F60" s="385"/>
      <c r="G60" s="385"/>
      <c r="H60" s="385"/>
      <c r="I60" s="385"/>
      <c r="J60" s="385"/>
      <c r="K60" s="385"/>
      <c r="L60" s="385"/>
      <c r="M60" s="385"/>
      <c r="N60" s="385"/>
      <c r="O60" s="385"/>
      <c r="P60" s="385"/>
      <c r="Q60" s="385"/>
      <c r="R60" s="385"/>
      <c r="S60" s="385"/>
      <c r="T60" s="385"/>
      <c r="U60" s="385"/>
      <c r="V60" s="385"/>
      <c r="W60" s="385"/>
      <c r="X60" s="385"/>
      <c r="Y60" s="385"/>
      <c r="Z60" s="385"/>
      <c r="AA60" s="385"/>
      <c r="AB60" s="385"/>
      <c r="AC60" s="385"/>
      <c r="AD60" s="385"/>
      <c r="AE60" s="385"/>
      <c r="AF60" s="385"/>
      <c r="AG60" s="385"/>
      <c r="AH60" s="385"/>
      <c r="AI60" s="385"/>
      <c r="AJ60" s="385"/>
    </row>
    <row r="61" spans="1:36" x14ac:dyDescent="0.25">
      <c r="A61" s="385"/>
      <c r="B61" s="385"/>
      <c r="C61" s="385"/>
      <c r="D61" s="385"/>
      <c r="E61" s="385"/>
      <c r="F61" s="385"/>
      <c r="G61" s="385"/>
      <c r="H61" s="385"/>
      <c r="I61" s="389">
        <f>+I5</f>
        <v>1</v>
      </c>
      <c r="J61" s="389">
        <f t="shared" ref="J61:AB61" si="53">+J5</f>
        <v>2</v>
      </c>
      <c r="K61" s="389">
        <f t="shared" si="53"/>
        <v>3</v>
      </c>
      <c r="L61" s="389">
        <f t="shared" si="53"/>
        <v>4</v>
      </c>
      <c r="M61" s="389">
        <f t="shared" si="53"/>
        <v>5</v>
      </c>
      <c r="N61" s="389">
        <f t="shared" si="53"/>
        <v>6</v>
      </c>
      <c r="O61" s="389">
        <f t="shared" si="53"/>
        <v>7</v>
      </c>
      <c r="P61" s="389">
        <f t="shared" si="53"/>
        <v>8</v>
      </c>
      <c r="Q61" s="389">
        <f t="shared" si="53"/>
        <v>9</v>
      </c>
      <c r="R61" s="389">
        <f t="shared" si="53"/>
        <v>10</v>
      </c>
      <c r="S61" s="389">
        <f t="shared" si="53"/>
        <v>11</v>
      </c>
      <c r="T61" s="389">
        <f t="shared" si="53"/>
        <v>12</v>
      </c>
      <c r="U61" s="389">
        <f t="shared" si="53"/>
        <v>13</v>
      </c>
      <c r="V61" s="389">
        <f t="shared" si="53"/>
        <v>14</v>
      </c>
      <c r="W61" s="389">
        <f t="shared" si="53"/>
        <v>15</v>
      </c>
      <c r="X61" s="389">
        <f t="shared" si="53"/>
        <v>16</v>
      </c>
      <c r="Y61" s="389">
        <f t="shared" si="53"/>
        <v>17</v>
      </c>
      <c r="Z61" s="389">
        <f t="shared" si="53"/>
        <v>18</v>
      </c>
      <c r="AA61" s="389">
        <f t="shared" si="53"/>
        <v>19</v>
      </c>
      <c r="AB61" s="389">
        <f t="shared" si="53"/>
        <v>20</v>
      </c>
      <c r="AC61" s="385"/>
      <c r="AD61" s="385"/>
      <c r="AE61" s="385"/>
      <c r="AF61" s="385"/>
      <c r="AG61" s="385"/>
      <c r="AH61" s="385"/>
      <c r="AI61" s="385"/>
      <c r="AJ61" s="385"/>
    </row>
    <row r="62" spans="1:36" x14ac:dyDescent="0.25">
      <c r="A62" s="385"/>
      <c r="B62" s="385"/>
      <c r="C62" s="385" t="s">
        <v>285</v>
      </c>
      <c r="D62" s="385"/>
      <c r="E62" s="385"/>
      <c r="F62" s="385"/>
      <c r="G62" s="385"/>
      <c r="H62" s="385"/>
      <c r="I62" s="390">
        <f>+I38/$G$38</f>
        <v>0</v>
      </c>
      <c r="J62" s="390">
        <f t="shared" ref="J62:AB62" si="54">+J38/$G$38</f>
        <v>1.1076500896767202E-2</v>
      </c>
      <c r="K62" s="390">
        <f t="shared" si="54"/>
        <v>6.0918378340695488E-2</v>
      </c>
      <c r="L62" s="390">
        <f t="shared" si="54"/>
        <v>3.8692494407087948E-2</v>
      </c>
      <c r="M62" s="390">
        <f t="shared" si="54"/>
        <v>4.0846478525118989E-2</v>
      </c>
      <c r="N62" s="390">
        <f t="shared" si="54"/>
        <v>3.8692494407087948E-2</v>
      </c>
      <c r="O62" s="390">
        <f t="shared" si="54"/>
        <v>1.6133887660103048E-2</v>
      </c>
      <c r="P62" s="390">
        <f t="shared" si="54"/>
        <v>3.5036504445810544E-2</v>
      </c>
      <c r="Q62" s="390">
        <f t="shared" si="54"/>
        <v>2.3960003549043343E-2</v>
      </c>
      <c r="R62" s="390">
        <f t="shared" si="54"/>
        <v>2.3960003549043343E-2</v>
      </c>
      <c r="S62" s="390">
        <f t="shared" si="54"/>
        <v>0.10591121687823613</v>
      </c>
      <c r="T62" s="390">
        <f t="shared" si="54"/>
        <v>0.10193676365272611</v>
      </c>
      <c r="U62" s="390">
        <f t="shared" si="54"/>
        <v>4.4289367446399941E-2</v>
      </c>
      <c r="V62" s="390">
        <f t="shared" si="54"/>
        <v>5.5265259301979223E-2</v>
      </c>
      <c r="W62" s="390">
        <f t="shared" si="54"/>
        <v>9.3503032530784777E-2</v>
      </c>
      <c r="X62" s="390">
        <f t="shared" si="54"/>
        <v>1.0975891855579286E-2</v>
      </c>
      <c r="Y62" s="390">
        <f t="shared" si="54"/>
        <v>0</v>
      </c>
      <c r="Z62" s="390">
        <f t="shared" si="54"/>
        <v>3.4718833378752638E-2</v>
      </c>
      <c r="AA62" s="390">
        <f t="shared" si="54"/>
        <v>2.9207517634309108E-2</v>
      </c>
      <c r="AB62" s="390">
        <f t="shared" si="54"/>
        <v>0.23487537154047494</v>
      </c>
      <c r="AC62" s="385"/>
      <c r="AD62" s="385"/>
      <c r="AE62" s="385"/>
      <c r="AF62" s="385"/>
      <c r="AG62" s="385"/>
      <c r="AH62" s="385"/>
      <c r="AI62" s="385"/>
      <c r="AJ62" s="385"/>
    </row>
    <row r="63" spans="1:36" x14ac:dyDescent="0.25">
      <c r="A63" s="385"/>
      <c r="B63" s="385"/>
      <c r="C63" s="385" t="s">
        <v>286</v>
      </c>
      <c r="D63" s="385"/>
      <c r="E63" s="385"/>
      <c r="F63" s="385"/>
      <c r="G63" s="385"/>
      <c r="H63" s="385"/>
      <c r="I63" s="391">
        <f>+I62</f>
        <v>0</v>
      </c>
      <c r="J63" s="391">
        <f>+I63+J62</f>
        <v>1.1076500896767202E-2</v>
      </c>
      <c r="K63" s="391">
        <f t="shared" ref="K63:AB63" si="55">+J63+K62</f>
        <v>7.1994879237462686E-2</v>
      </c>
      <c r="L63" s="391">
        <f t="shared" si="55"/>
        <v>0.11068737364455064</v>
      </c>
      <c r="M63" s="391">
        <f t="shared" si="55"/>
        <v>0.15153385216966964</v>
      </c>
      <c r="N63" s="391">
        <f t="shared" si="55"/>
        <v>0.19022634657675758</v>
      </c>
      <c r="O63" s="391">
        <f t="shared" si="55"/>
        <v>0.20636023423686062</v>
      </c>
      <c r="P63" s="391">
        <f t="shared" si="55"/>
        <v>0.24139673868267117</v>
      </c>
      <c r="Q63" s="391">
        <f t="shared" si="55"/>
        <v>0.26535674223171452</v>
      </c>
      <c r="R63" s="391">
        <f t="shared" si="55"/>
        <v>0.28931674578075783</v>
      </c>
      <c r="S63" s="391">
        <f t="shared" si="55"/>
        <v>0.39522796265899396</v>
      </c>
      <c r="T63" s="391">
        <f t="shared" si="55"/>
        <v>0.49716472631172004</v>
      </c>
      <c r="U63" s="391">
        <f t="shared" si="55"/>
        <v>0.54145409375812004</v>
      </c>
      <c r="V63" s="391">
        <f t="shared" si="55"/>
        <v>0.59671935306009927</v>
      </c>
      <c r="W63" s="391">
        <f t="shared" si="55"/>
        <v>0.690222385590884</v>
      </c>
      <c r="X63" s="391">
        <f t="shared" si="55"/>
        <v>0.70119827744646324</v>
      </c>
      <c r="Y63" s="391">
        <f t="shared" si="55"/>
        <v>0.70119827744646324</v>
      </c>
      <c r="Z63" s="391">
        <f t="shared" si="55"/>
        <v>0.73591711082521583</v>
      </c>
      <c r="AA63" s="391">
        <f t="shared" si="55"/>
        <v>0.76512462845952489</v>
      </c>
      <c r="AB63" s="391">
        <f t="shared" si="55"/>
        <v>0.99999999999999978</v>
      </c>
      <c r="AC63" s="385"/>
      <c r="AD63" s="385"/>
      <c r="AE63" s="385"/>
      <c r="AF63" s="385"/>
      <c r="AG63" s="385"/>
      <c r="AH63" s="385"/>
      <c r="AI63" s="385"/>
      <c r="AJ63" s="385"/>
    </row>
    <row r="64" spans="1:36" x14ac:dyDescent="0.25">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row>
    <row r="65" spans="1:36" x14ac:dyDescent="0.25">
      <c r="A65" s="385"/>
      <c r="B65" s="385"/>
      <c r="C65" s="385" t="s">
        <v>287</v>
      </c>
      <c r="D65" s="385"/>
      <c r="E65" s="385"/>
      <c r="F65" s="385"/>
      <c r="G65" s="385"/>
      <c r="H65" s="385"/>
      <c r="I65" s="391" t="e">
        <f>-+I37/I38</f>
        <v>#DIV/0!</v>
      </c>
      <c r="J65" s="391">
        <f t="shared" ref="J65:AB65" si="56">-+J37/J38</f>
        <v>1.4444285509941353</v>
      </c>
      <c r="K65" s="391">
        <f t="shared" si="56"/>
        <v>0.26788629093084343</v>
      </c>
      <c r="L65" s="391">
        <f t="shared" si="56"/>
        <v>0.43020184267638506</v>
      </c>
      <c r="M65" s="391">
        <f t="shared" si="56"/>
        <v>0.41566604154302672</v>
      </c>
      <c r="N65" s="391">
        <f t="shared" si="56"/>
        <v>0.447581997120511</v>
      </c>
      <c r="O65" s="391">
        <f t="shared" si="56"/>
        <v>1.0948647697843072</v>
      </c>
      <c r="P65" s="391">
        <f t="shared" si="56"/>
        <v>0.514255459774702</v>
      </c>
      <c r="Q65" s="391">
        <f t="shared" si="56"/>
        <v>0.76703110411125353</v>
      </c>
      <c r="R65" s="391">
        <f t="shared" si="56"/>
        <v>0.7823717261934785</v>
      </c>
      <c r="S65" s="391">
        <f t="shared" si="56"/>
        <v>0.18053368176266665</v>
      </c>
      <c r="T65" s="391">
        <f t="shared" si="56"/>
        <v>0.19132403327904288</v>
      </c>
      <c r="U65" s="391">
        <f t="shared" si="56"/>
        <v>0.44915998948858643</v>
      </c>
      <c r="V65" s="391">
        <f t="shared" si="56"/>
        <v>0.36715419975036789</v>
      </c>
      <c r="W65" s="391">
        <f t="shared" si="56"/>
        <v>0.2213477887710317</v>
      </c>
      <c r="X65" s="391">
        <f t="shared" si="56"/>
        <v>1.9233629086118924</v>
      </c>
      <c r="Y65" s="391" t="e">
        <f t="shared" si="56"/>
        <v>#DIV/0!</v>
      </c>
      <c r="Z65" s="391">
        <f t="shared" si="56"/>
        <v>0.63261032492150804</v>
      </c>
      <c r="AA65" s="391">
        <f t="shared" si="56"/>
        <v>0.76702041557976119</v>
      </c>
      <c r="AB65" s="391">
        <f t="shared" si="56"/>
        <v>9.7289117246852852E-2</v>
      </c>
      <c r="AC65" s="385"/>
      <c r="AD65" s="385"/>
      <c r="AE65" s="385"/>
      <c r="AF65" s="385"/>
      <c r="AG65" s="385"/>
      <c r="AH65" s="385"/>
      <c r="AI65" s="385"/>
      <c r="AJ65" s="385"/>
    </row>
    <row r="66" spans="1:36" x14ac:dyDescent="0.25">
      <c r="A66" s="385"/>
      <c r="B66" s="385"/>
      <c r="C66" s="385"/>
      <c r="D66" s="385"/>
      <c r="E66" s="385"/>
      <c r="F66" s="385"/>
      <c r="G66" s="385"/>
      <c r="H66" s="385"/>
      <c r="I66" s="391"/>
      <c r="J66" s="391"/>
      <c r="K66" s="391"/>
      <c r="L66" s="391"/>
      <c r="M66" s="391"/>
      <c r="N66" s="391"/>
      <c r="O66" s="391"/>
      <c r="P66" s="391"/>
      <c r="Q66" s="391"/>
      <c r="R66" s="391"/>
      <c r="S66" s="391"/>
      <c r="T66" s="391"/>
      <c r="U66" s="391"/>
      <c r="V66" s="391"/>
      <c r="W66" s="391"/>
      <c r="X66" s="391"/>
      <c r="Y66" s="391"/>
      <c r="Z66" s="391"/>
      <c r="AA66" s="391"/>
      <c r="AB66" s="391"/>
      <c r="AC66" s="385"/>
      <c r="AD66" s="385"/>
      <c r="AE66" s="385"/>
      <c r="AF66" s="385"/>
      <c r="AG66" s="385"/>
      <c r="AH66" s="385"/>
      <c r="AI66" s="385"/>
      <c r="AJ66" s="385"/>
    </row>
    <row r="67" spans="1:36" x14ac:dyDescent="0.25">
      <c r="A67" s="385"/>
      <c r="B67" s="385"/>
      <c r="C67" s="385" t="s">
        <v>288</v>
      </c>
      <c r="D67" s="385"/>
      <c r="E67" s="385"/>
      <c r="F67" s="385"/>
      <c r="G67" s="385"/>
      <c r="H67" s="385"/>
      <c r="I67" s="401">
        <f>+I37/'Trial Deposits Engine'!$P$22</f>
        <v>330</v>
      </c>
      <c r="J67" s="401">
        <f>+J37/'Trial Deposits Engine'!$P$22</f>
        <v>336.6</v>
      </c>
      <c r="K67" s="401">
        <f>+K37/'Trial Deposits Engine'!$P$22</f>
        <v>343.33199999999999</v>
      </c>
      <c r="L67" s="401">
        <f>+L37/'Trial Deposits Engine'!$P$22</f>
        <v>350.19863999999995</v>
      </c>
      <c r="M67" s="401">
        <f>+M37/'Trial Deposits Engine'!$P$22</f>
        <v>357.2026128</v>
      </c>
      <c r="N67" s="401">
        <f>+N37/'Trial Deposits Engine'!$P$22</f>
        <v>364.34666505600001</v>
      </c>
      <c r="O67" s="401">
        <f>+O37/'Trial Deposits Engine'!$P$22</f>
        <v>371.63359835711998</v>
      </c>
      <c r="P67" s="401">
        <f>+P37/'Trial Deposits Engine'!$P$22</f>
        <v>379.0662703242624</v>
      </c>
      <c r="Q67" s="401">
        <f>+Q37/'Trial Deposits Engine'!$P$22</f>
        <v>386.6475957307477</v>
      </c>
      <c r="R67" s="401">
        <f>+R37/'Trial Deposits Engine'!$P$22</f>
        <v>394.38054764536264</v>
      </c>
      <c r="S67" s="401">
        <f>+S37/'Trial Deposits Engine'!$P$22</f>
        <v>402.26815859826991</v>
      </c>
      <c r="T67" s="401">
        <f>+T37/'Trial Deposits Engine'!$P$22</f>
        <v>410.31352177023535</v>
      </c>
      <c r="U67" s="401">
        <f>+U37/'Trial Deposits Engine'!$P$22</f>
        <v>418.51979220564004</v>
      </c>
      <c r="V67" s="401">
        <f>+V37/'Trial Deposits Engine'!$P$22</f>
        <v>426.89018804975274</v>
      </c>
      <c r="W67" s="401">
        <f>+W37/'Trial Deposits Engine'!$P$22</f>
        <v>435.42799181074787</v>
      </c>
      <c r="X67" s="401">
        <f>+X37/'Trial Deposits Engine'!$P$22</f>
        <v>444.13655164696286</v>
      </c>
      <c r="Y67" s="401">
        <f>+Y37/'Trial Deposits Engine'!$P$22</f>
        <v>453.01928267990212</v>
      </c>
      <c r="Z67" s="401">
        <f>+Z37/'Trial Deposits Engine'!$P$22</f>
        <v>462.07966833350019</v>
      </c>
      <c r="AA67" s="401">
        <f>+AA37/'Trial Deposits Engine'!$P$22</f>
        <v>471.32126170017023</v>
      </c>
      <c r="AB67" s="401">
        <f>+AB37/'Trial Deposits Engine'!$P$22</f>
        <v>480.7476869341736</v>
      </c>
      <c r="AC67" s="385"/>
      <c r="AD67" s="385"/>
      <c r="AE67" s="385"/>
      <c r="AF67" s="385"/>
      <c r="AG67" s="385"/>
      <c r="AH67" s="385"/>
      <c r="AI67" s="385"/>
      <c r="AJ67" s="385"/>
    </row>
    <row r="68" spans="1:36" x14ac:dyDescent="0.25">
      <c r="A68" s="385"/>
      <c r="B68" s="385"/>
      <c r="C68" s="385" t="s">
        <v>289</v>
      </c>
      <c r="D68" s="385"/>
      <c r="E68" s="385"/>
      <c r="F68" s="385"/>
      <c r="G68" s="385"/>
      <c r="H68" s="385"/>
      <c r="I68" s="401">
        <f>-+I41/'Trial Deposits Engine'!$P$22</f>
        <v>0</v>
      </c>
      <c r="J68" s="401">
        <f>-+J41/'Trial Deposits Engine'!$P$22</f>
        <v>0</v>
      </c>
      <c r="K68" s="401">
        <f ca="1">-+K41/'Trial Deposits Engine'!$P$22</f>
        <v>938.30133333333333</v>
      </c>
      <c r="L68" s="401">
        <f ca="1">-+L41/'Trial Deposits Engine'!$P$22</f>
        <v>463.83469333333335</v>
      </c>
      <c r="M68" s="401">
        <f ca="1">-+M41/'Trial Deposits Engine'!$P$22</f>
        <v>502.14738719999997</v>
      </c>
      <c r="N68" s="401">
        <f ca="1">-+N41/'Trial Deposits Engine'!$P$22</f>
        <v>449.68666827733335</v>
      </c>
      <c r="O68" s="401">
        <f>-+O41/'Trial Deposits Engine'!$P$22</f>
        <v>0</v>
      </c>
      <c r="P68" s="401">
        <f ca="1">-+P41/'Trial Deposits Engine'!$P$22</f>
        <v>358.05039634240427</v>
      </c>
      <c r="Q68" s="401">
        <f ca="1">-+Q41/'Trial Deposits Engine'!$P$22</f>
        <v>117.43573760258563</v>
      </c>
      <c r="R68" s="401">
        <f ca="1">-+R41/'Trial Deposits Engine'!$P$22</f>
        <v>109.70278568797069</v>
      </c>
      <c r="S68" s="401">
        <f ca="1">-+S41/'Trial Deposits Engine'!$P$22</f>
        <v>743.80214929736155</v>
      </c>
      <c r="T68" s="401">
        <f ca="1">-+T41/'Trial Deposits Engine'!$P$22</f>
        <v>0</v>
      </c>
      <c r="U68" s="401">
        <f ca="1">-+U41/'Trial Deposits Engine'!$P$22</f>
        <v>0</v>
      </c>
      <c r="V68" s="401">
        <f ca="1">-+V41/'Trial Deposits Engine'!$P$22</f>
        <v>0</v>
      </c>
      <c r="W68" s="401">
        <f ca="1">-+W41/'Trial Deposits Engine'!$P$22</f>
        <v>0</v>
      </c>
      <c r="X68" s="401">
        <f>-+X41/'Trial Deposits Engine'!$P$22</f>
        <v>0</v>
      </c>
      <c r="Y68" s="401">
        <f>-+Y41/'Trial Deposits Engine'!$P$22</f>
        <v>0</v>
      </c>
      <c r="Z68" s="401">
        <f ca="1">-+Z41/'Trial Deposits Engine'!$P$22</f>
        <v>0</v>
      </c>
      <c r="AA68" s="401">
        <f ca="1">-+AA41/'Trial Deposits Engine'!$P$22</f>
        <v>0</v>
      </c>
      <c r="AB68" s="401">
        <f ca="1">-+AB41/'Trial Deposits Engine'!$P$22</f>
        <v>0</v>
      </c>
      <c r="AC68" s="385"/>
      <c r="AD68" s="385"/>
      <c r="AE68" s="385"/>
      <c r="AF68" s="385"/>
      <c r="AG68" s="385"/>
      <c r="AH68" s="385"/>
      <c r="AI68" s="385"/>
      <c r="AJ68" s="385"/>
    </row>
    <row r="69" spans="1:36" x14ac:dyDescent="0.25">
      <c r="A69" s="385"/>
      <c r="B69" s="385"/>
      <c r="C69" s="385" t="s">
        <v>290</v>
      </c>
      <c r="D69" s="385"/>
      <c r="E69" s="385"/>
      <c r="F69" s="385"/>
      <c r="G69" s="385"/>
      <c r="H69" s="385"/>
      <c r="I69" s="401">
        <f>+-I38/'Trial Deposits Engine'!$P$22</f>
        <v>0</v>
      </c>
      <c r="J69" s="401">
        <f>+-J38/'Trial Deposits Engine'!$P$22</f>
        <v>233.03333333333333</v>
      </c>
      <c r="K69" s="401">
        <f>+-K38/'Trial Deposits Engine'!$P$22</f>
        <v>1281.6333333333334</v>
      </c>
      <c r="L69" s="401">
        <f>+-L38/'Trial Deposits Engine'!$P$22</f>
        <v>814.0333333333333</v>
      </c>
      <c r="M69" s="401">
        <f>+-M38/'Trial Deposits Engine'!$P$22</f>
        <v>859.35</v>
      </c>
      <c r="N69" s="401">
        <f>+-N38/'Trial Deposits Engine'!$P$22</f>
        <v>814.0333333333333</v>
      </c>
      <c r="O69" s="401">
        <f>+-O38/'Trial Deposits Engine'!$P$22</f>
        <v>339.43333333333334</v>
      </c>
      <c r="P69" s="401">
        <f>+-P38/'Trial Deposits Engine'!$P$22</f>
        <v>737.11666666666667</v>
      </c>
      <c r="Q69" s="401">
        <f>+-Q38/'Trial Deposits Engine'!$P$22</f>
        <v>504.08333333333331</v>
      </c>
      <c r="R69" s="401">
        <f>+-R38/'Trial Deposits Engine'!$P$22</f>
        <v>504.08333333333331</v>
      </c>
      <c r="S69" s="401">
        <f>+-S38/'Trial Deposits Engine'!$P$22</f>
        <v>2228.2166666666667</v>
      </c>
      <c r="T69" s="401">
        <f>+-T38/'Trial Deposits Engine'!$P$22</f>
        <v>2144.6</v>
      </c>
      <c r="U69" s="401">
        <f>+-U38/'Trial Deposits Engine'!$P$22</f>
        <v>931.7833333333333</v>
      </c>
      <c r="V69" s="401">
        <f>+-V38/'Trial Deposits Engine'!$P$22</f>
        <v>1162.7</v>
      </c>
      <c r="W69" s="401">
        <f>+-W38/'Trial Deposits Engine'!$P$22</f>
        <v>1967.1666666666667</v>
      </c>
      <c r="X69" s="401">
        <f>+-X38/'Trial Deposits Engine'!$P$22</f>
        <v>230.91666666666666</v>
      </c>
      <c r="Y69" s="401">
        <f>+-Y38/'Trial Deposits Engine'!$P$22</f>
        <v>0</v>
      </c>
      <c r="Z69" s="401">
        <f>+-Z38/'Trial Deposits Engine'!$P$22</f>
        <v>730.43333333333328</v>
      </c>
      <c r="AA69" s="401">
        <f>+-AA38/'Trial Deposits Engine'!$P$22</f>
        <v>614.48333333333335</v>
      </c>
      <c r="AB69" s="401">
        <f>+-AB38/'Trial Deposits Engine'!$P$22</f>
        <v>4941.4333333333334</v>
      </c>
      <c r="AC69" s="385"/>
      <c r="AD69" s="385"/>
      <c r="AE69" s="385"/>
      <c r="AF69" s="385"/>
      <c r="AG69" s="385"/>
      <c r="AH69" s="385"/>
      <c r="AI69" s="385"/>
      <c r="AJ69" s="385"/>
    </row>
    <row r="70" spans="1:36" x14ac:dyDescent="0.25">
      <c r="A70" s="385"/>
      <c r="B70" s="385"/>
      <c r="C70" s="385" t="s">
        <v>291</v>
      </c>
      <c r="D70" s="385"/>
      <c r="E70" s="385"/>
      <c r="F70" s="385"/>
      <c r="G70" s="385"/>
      <c r="H70" s="385"/>
      <c r="I70" s="401">
        <f>+-I15/'Trial Deposits Engine'!$P$22</f>
        <v>835.85</v>
      </c>
      <c r="J70" s="401">
        <f ca="1">+-J15/'Trial Deposits Engine'!$P$22</f>
        <v>852.56700000000012</v>
      </c>
      <c r="K70" s="401">
        <f ca="1">+-K15/'Trial Deposits Engine'!$P$22</f>
        <v>869.6183400000001</v>
      </c>
      <c r="L70" s="401">
        <f ca="1">+-L15/'Trial Deposits Engine'!$P$22</f>
        <v>887.01070679999998</v>
      </c>
      <c r="M70" s="401">
        <f ca="1">+-M15/'Trial Deposits Engine'!$P$22</f>
        <v>904.75092093599994</v>
      </c>
      <c r="N70" s="401">
        <f ca="1">+-N15/'Trial Deposits Engine'!$P$22</f>
        <v>922.84593935472003</v>
      </c>
      <c r="O70" s="401">
        <f ca="1">+-O15/'Trial Deposits Engine'!$P$22</f>
        <v>941.30285814181445</v>
      </c>
      <c r="P70" s="401">
        <f ca="1">+-P15/'Trial Deposits Engine'!$P$22</f>
        <v>960.12891530465072</v>
      </c>
      <c r="Q70" s="401">
        <f ca="1">+-Q15/'Trial Deposits Engine'!$P$22</f>
        <v>979.33149361074379</v>
      </c>
      <c r="R70" s="401">
        <f ca="1">+-R15/'Trial Deposits Engine'!$P$22</f>
        <v>998.91812348295878</v>
      </c>
      <c r="S70" s="401">
        <f ca="1">+-S15/'Trial Deposits Engine'!$P$22</f>
        <v>1018.8964859526179</v>
      </c>
      <c r="T70" s="401">
        <f ca="1">+-T15/'Trial Deposits Engine'!$P$22</f>
        <v>1039.2744156716701</v>
      </c>
      <c r="U70" s="401">
        <f ca="1">+-U15/'Trial Deposits Engine'!$P$22</f>
        <v>1060.0599039851036</v>
      </c>
      <c r="V70" s="401">
        <f ca="1">+-V15/'Trial Deposits Engine'!$P$22</f>
        <v>1081.2611020648058</v>
      </c>
      <c r="W70" s="401">
        <f ca="1">+-W15/'Trial Deposits Engine'!$P$22</f>
        <v>1102.8863241061017</v>
      </c>
      <c r="X70" s="401">
        <f ca="1">+-X15/'Trial Deposits Engine'!$P$22</f>
        <v>1124.9440505882239</v>
      </c>
      <c r="Y70" s="401">
        <f ca="1">+-Y15/'Trial Deposits Engine'!$P$22</f>
        <v>1147.4429315999885</v>
      </c>
      <c r="Z70" s="401">
        <f ca="1">+-Z15/'Trial Deposits Engine'!$P$22</f>
        <v>1170.3917902319884</v>
      </c>
      <c r="AA70" s="401">
        <f ca="1">+-AA15/'Trial Deposits Engine'!$P$22</f>
        <v>1193.7996260366281</v>
      </c>
      <c r="AB70" s="401">
        <f ca="1">+-AB15/'Trial Deposits Engine'!$P$22</f>
        <v>1217.6756185573606</v>
      </c>
      <c r="AC70" s="385"/>
      <c r="AD70" s="385"/>
      <c r="AE70" s="385"/>
      <c r="AF70" s="385"/>
      <c r="AG70" s="385"/>
      <c r="AH70" s="385"/>
      <c r="AI70" s="385"/>
      <c r="AJ70" s="385"/>
    </row>
    <row r="71" spans="1:36" ht="15.75" thickBot="1" x14ac:dyDescent="0.3">
      <c r="A71" s="385"/>
      <c r="B71" s="385"/>
      <c r="C71" s="385" t="s">
        <v>292</v>
      </c>
      <c r="D71" s="385"/>
      <c r="E71" s="385"/>
      <c r="F71" s="385"/>
      <c r="G71" s="385"/>
      <c r="H71" s="385"/>
      <c r="I71" s="401">
        <f ca="1">+I49/'Trial Deposits Engine'!$P$22</f>
        <v>3696.6666666666665</v>
      </c>
      <c r="J71" s="401">
        <f ca="1">+J49/'Trial Deposits Engine'!$P$22</f>
        <v>3837.2</v>
      </c>
      <c r="K71" s="401">
        <f ca="1">+K49/'Trial Deposits Engine'!$P$22</f>
        <v>2956.4566666666669</v>
      </c>
      <c r="L71" s="401">
        <f ca="1">+L49/'Trial Deposits Engine'!$P$22</f>
        <v>2536.9688233333336</v>
      </c>
      <c r="M71" s="401">
        <f ca="1">+M49/'Trial Deposits Engine'!$P$22</f>
        <v>2072.8759684833335</v>
      </c>
      <c r="N71" s="401">
        <f ca="1">+N49/'Trial Deposits Engine'!$P$22</f>
        <v>1654.2824397332502</v>
      </c>
      <c r="O71" s="401">
        <f ca="1">+O49/'Trial Deposits Engine'!$P$22</f>
        <v>1711.2969413530352</v>
      </c>
      <c r="P71" s="401">
        <f ca="1">+P49/'Trial Deposits Engine'!$P$22</f>
        <v>1378.9159991309266</v>
      </c>
      <c r="Q71" s="401">
        <f ca="1">+Q49/'Trial Deposits Engine'!$P$22</f>
        <v>1282.164001515305</v>
      </c>
      <c r="R71" s="401">
        <f ca="1">+R49/'Trial Deposits Engine'!$P$22</f>
        <v>1191.693675850064</v>
      </c>
      <c r="S71" s="401">
        <f ca="1">+S49/'Trial Deposits Engine'!$P$22</f>
        <v>-616.37942708058188</v>
      </c>
      <c r="T71" s="401">
        <f ca="1">+T49/'Trial Deposits Engine'!$P$22</f>
        <v>-2350.6659053103463</v>
      </c>
      <c r="U71" s="401">
        <f ca="1">+U49/'Trial Deposits Engine'!$P$22</f>
        <v>-2863.9294464380396</v>
      </c>
      <c r="V71" s="401">
        <f ca="1">+V49/'Trial Deposits Engine'!$P$22</f>
        <v>-3599.7392583882875</v>
      </c>
      <c r="W71" s="401">
        <f ca="1">+W49/'Trial Deposits Engine'!$P$22</f>
        <v>-5131.4779332442067</v>
      </c>
      <c r="X71" s="401">
        <f ca="1">+X49/'Trial Deposits Engine'!$P$22</f>
        <v>-4918.2580482639105</v>
      </c>
      <c r="Y71" s="401">
        <f ca="1">+Y49/'Trial Deposits Engine'!$P$22</f>
        <v>-4465.2387655840084</v>
      </c>
      <c r="Z71" s="401">
        <f ca="1">+Z49/'Trial Deposits Engine'!$P$22</f>
        <v>-4733.5924305838416</v>
      </c>
      <c r="AA71" s="401">
        <f ca="1">+AA49/'Trial Deposits Engine'!$P$22</f>
        <v>-4876.7545022170052</v>
      </c>
      <c r="AB71" s="401">
        <f ca="1">+AB49/'Trial Deposits Engine'!$P$22</f>
        <v>-9337.4401486161642</v>
      </c>
      <c r="AC71" s="385"/>
      <c r="AD71" s="385"/>
      <c r="AE71" s="385"/>
      <c r="AF71" s="385"/>
      <c r="AG71" s="385"/>
      <c r="AH71" s="385"/>
      <c r="AI71" s="385"/>
      <c r="AJ71" s="385"/>
    </row>
    <row r="72" spans="1:36" x14ac:dyDescent="0.25">
      <c r="A72" s="392"/>
      <c r="B72" s="393"/>
      <c r="C72" s="393"/>
      <c r="D72" s="393"/>
      <c r="E72" s="393"/>
      <c r="F72" s="393"/>
      <c r="G72" s="393"/>
      <c r="H72" s="393"/>
      <c r="I72" s="393"/>
      <c r="J72" s="393"/>
      <c r="K72" s="393"/>
      <c r="L72" s="393"/>
      <c r="M72" s="393"/>
      <c r="N72" s="393"/>
      <c r="O72" s="393"/>
      <c r="P72" s="393"/>
      <c r="Q72" s="393"/>
      <c r="R72" s="393"/>
      <c r="S72" s="393"/>
      <c r="T72" s="393"/>
      <c r="U72" s="393"/>
      <c r="V72" s="393"/>
      <c r="W72" s="393"/>
      <c r="X72" s="393"/>
      <c r="Y72" s="393"/>
      <c r="Z72" s="393"/>
      <c r="AA72" s="393"/>
      <c r="AB72" s="393"/>
      <c r="AC72" s="393"/>
      <c r="AD72" s="393"/>
      <c r="AE72" s="393"/>
      <c r="AF72" s="393"/>
      <c r="AG72" s="393"/>
      <c r="AH72" s="393"/>
      <c r="AI72" s="393"/>
      <c r="AJ72" s="394"/>
    </row>
    <row r="73" spans="1:36" x14ac:dyDescent="0.25">
      <c r="A73" s="395"/>
      <c r="B73" s="396"/>
      <c r="C73" s="396"/>
      <c r="D73" s="396"/>
      <c r="E73" s="396"/>
      <c r="F73" s="396"/>
      <c r="G73" s="396"/>
      <c r="H73" s="396"/>
      <c r="I73" s="396"/>
      <c r="J73" s="396"/>
      <c r="K73" s="396"/>
      <c r="L73" s="396"/>
      <c r="M73" s="396"/>
      <c r="N73" s="396"/>
      <c r="O73" s="396"/>
      <c r="P73" s="396"/>
      <c r="Q73" s="396"/>
      <c r="R73" s="396"/>
      <c r="S73" s="396"/>
      <c r="T73" s="396"/>
      <c r="U73" s="396"/>
      <c r="V73" s="396"/>
      <c r="W73" s="396"/>
      <c r="X73" s="396"/>
      <c r="Y73" s="396"/>
      <c r="Z73" s="396"/>
      <c r="AA73" s="396"/>
      <c r="AB73" s="396"/>
      <c r="AC73" s="396"/>
      <c r="AD73" s="396"/>
      <c r="AE73" s="396"/>
      <c r="AF73" s="396"/>
      <c r="AG73" s="396"/>
      <c r="AH73" s="396"/>
      <c r="AI73" s="396"/>
      <c r="AJ73" s="397"/>
    </row>
    <row r="74" spans="1:36" x14ac:dyDescent="0.25">
      <c r="A74" s="395"/>
      <c r="B74" s="396"/>
      <c r="C74" s="396"/>
      <c r="D74" s="396"/>
      <c r="E74" s="396"/>
      <c r="F74" s="396"/>
      <c r="G74" s="396"/>
      <c r="H74" s="396"/>
      <c r="I74" s="396"/>
      <c r="J74" s="396"/>
      <c r="K74" s="396"/>
      <c r="L74" s="396"/>
      <c r="M74" s="396"/>
      <c r="N74" s="396"/>
      <c r="O74" s="396"/>
      <c r="P74" s="396"/>
      <c r="Q74" s="396"/>
      <c r="R74" s="396"/>
      <c r="S74" s="396"/>
      <c r="T74" s="396"/>
      <c r="U74" s="396"/>
      <c r="V74" s="396"/>
      <c r="W74" s="396"/>
      <c r="X74" s="396"/>
      <c r="Y74" s="396"/>
      <c r="Z74" s="396"/>
      <c r="AA74" s="396"/>
      <c r="AB74" s="396"/>
      <c r="AC74" s="396"/>
      <c r="AD74" s="396"/>
      <c r="AE74" s="396"/>
      <c r="AF74" s="396"/>
      <c r="AG74" s="396"/>
      <c r="AH74" s="396"/>
      <c r="AI74" s="396"/>
      <c r="AJ74" s="397"/>
    </row>
    <row r="75" spans="1:36" x14ac:dyDescent="0.25">
      <c r="A75" s="395"/>
      <c r="B75" s="396"/>
      <c r="C75" s="396"/>
      <c r="D75" s="396"/>
      <c r="E75" s="396"/>
      <c r="F75" s="396"/>
      <c r="G75" s="396"/>
      <c r="H75" s="396"/>
      <c r="I75" s="396"/>
      <c r="J75" s="396"/>
      <c r="K75" s="396"/>
      <c r="L75" s="396"/>
      <c r="M75" s="396"/>
      <c r="N75" s="396"/>
      <c r="O75" s="396"/>
      <c r="P75" s="396"/>
      <c r="Q75" s="396"/>
      <c r="R75" s="396"/>
      <c r="S75" s="396"/>
      <c r="T75" s="396"/>
      <c r="U75" s="396"/>
      <c r="V75" s="396"/>
      <c r="W75" s="396"/>
      <c r="X75" s="396"/>
      <c r="Y75" s="396"/>
      <c r="Z75" s="396"/>
      <c r="AA75" s="396"/>
      <c r="AB75" s="396"/>
      <c r="AC75" s="396"/>
      <c r="AD75" s="396"/>
      <c r="AE75" s="396"/>
      <c r="AF75" s="396"/>
      <c r="AG75" s="396"/>
      <c r="AH75" s="396"/>
      <c r="AI75" s="396"/>
      <c r="AJ75" s="397"/>
    </row>
    <row r="76" spans="1:36" x14ac:dyDescent="0.25">
      <c r="A76" s="395"/>
      <c r="B76" s="396"/>
      <c r="C76" s="396"/>
      <c r="D76" s="396"/>
      <c r="E76" s="396"/>
      <c r="F76" s="396"/>
      <c r="G76" s="396"/>
      <c r="H76" s="396"/>
      <c r="I76" s="396"/>
      <c r="J76" s="396"/>
      <c r="K76" s="396"/>
      <c r="L76" s="396"/>
      <c r="M76" s="396"/>
      <c r="N76" s="396"/>
      <c r="O76" s="396"/>
      <c r="P76" s="396"/>
      <c r="Q76" s="396"/>
      <c r="R76" s="396"/>
      <c r="S76" s="396"/>
      <c r="T76" s="396"/>
      <c r="U76" s="396"/>
      <c r="V76" s="396"/>
      <c r="W76" s="396"/>
      <c r="X76" s="396"/>
      <c r="Y76" s="396"/>
      <c r="Z76" s="396"/>
      <c r="AA76" s="396"/>
      <c r="AB76" s="396"/>
      <c r="AC76" s="396"/>
      <c r="AD76" s="396"/>
      <c r="AE76" s="396"/>
      <c r="AF76" s="396"/>
      <c r="AG76" s="396"/>
      <c r="AH76" s="396"/>
      <c r="AI76" s="396"/>
      <c r="AJ76" s="397"/>
    </row>
    <row r="77" spans="1:36" x14ac:dyDescent="0.25">
      <c r="A77" s="395"/>
      <c r="B77" s="396"/>
      <c r="C77" s="396"/>
      <c r="D77" s="396"/>
      <c r="E77" s="396"/>
      <c r="F77" s="396"/>
      <c r="G77" s="396"/>
      <c r="H77" s="396"/>
      <c r="I77" s="396"/>
      <c r="J77" s="396"/>
      <c r="K77" s="396"/>
      <c r="L77" s="396"/>
      <c r="M77" s="396"/>
      <c r="N77" s="396"/>
      <c r="O77" s="396"/>
      <c r="P77" s="396"/>
      <c r="Q77" s="396"/>
      <c r="R77" s="396"/>
      <c r="S77" s="396"/>
      <c r="T77" s="396"/>
      <c r="U77" s="396"/>
      <c r="V77" s="396"/>
      <c r="W77" s="396"/>
      <c r="X77" s="396"/>
      <c r="Y77" s="396"/>
      <c r="Z77" s="396"/>
      <c r="AA77" s="396"/>
      <c r="AB77" s="396"/>
      <c r="AC77" s="396"/>
      <c r="AD77" s="396"/>
      <c r="AE77" s="396"/>
      <c r="AF77" s="396"/>
      <c r="AG77" s="396"/>
      <c r="AH77" s="396"/>
      <c r="AI77" s="396"/>
      <c r="AJ77" s="397"/>
    </row>
    <row r="78" spans="1:36" x14ac:dyDescent="0.25">
      <c r="A78" s="395"/>
      <c r="B78" s="396"/>
      <c r="C78" s="396"/>
      <c r="D78" s="396"/>
      <c r="E78" s="396"/>
      <c r="F78" s="396"/>
      <c r="G78" s="396"/>
      <c r="H78" s="396"/>
      <c r="I78" s="396"/>
      <c r="J78" s="396"/>
      <c r="K78" s="396"/>
      <c r="L78" s="396"/>
      <c r="M78" s="396"/>
      <c r="N78" s="396"/>
      <c r="O78" s="396"/>
      <c r="P78" s="396"/>
      <c r="Q78" s="396"/>
      <c r="R78" s="396"/>
      <c r="S78" s="396"/>
      <c r="T78" s="396"/>
      <c r="U78" s="396"/>
      <c r="V78" s="396"/>
      <c r="W78" s="396"/>
      <c r="X78" s="396"/>
      <c r="Y78" s="396"/>
      <c r="Z78" s="396"/>
      <c r="AA78" s="396"/>
      <c r="AB78" s="396"/>
      <c r="AC78" s="396"/>
      <c r="AD78" s="396"/>
      <c r="AE78" s="396"/>
      <c r="AF78" s="396"/>
      <c r="AG78" s="396"/>
      <c r="AH78" s="396"/>
      <c r="AI78" s="396"/>
      <c r="AJ78" s="397"/>
    </row>
    <row r="79" spans="1:36" x14ac:dyDescent="0.25">
      <c r="A79" s="395"/>
      <c r="B79" s="396"/>
      <c r="C79" s="396"/>
      <c r="D79" s="396"/>
      <c r="E79" s="396"/>
      <c r="F79" s="396"/>
      <c r="G79" s="396"/>
      <c r="H79" s="396"/>
      <c r="I79" s="396"/>
      <c r="J79" s="396"/>
      <c r="K79" s="396"/>
      <c r="L79" s="396"/>
      <c r="M79" s="396"/>
      <c r="N79" s="396"/>
      <c r="O79" s="396"/>
      <c r="P79" s="396"/>
      <c r="Q79" s="396"/>
      <c r="R79" s="396"/>
      <c r="S79" s="396"/>
      <c r="T79" s="396"/>
      <c r="U79" s="396"/>
      <c r="V79" s="396"/>
      <c r="W79" s="396"/>
      <c r="X79" s="396"/>
      <c r="Y79" s="396"/>
      <c r="Z79" s="396"/>
      <c r="AA79" s="396"/>
      <c r="AB79" s="396"/>
      <c r="AC79" s="396"/>
      <c r="AD79" s="396"/>
      <c r="AE79" s="396"/>
      <c r="AF79" s="396"/>
      <c r="AG79" s="396"/>
      <c r="AH79" s="396"/>
      <c r="AI79" s="396"/>
      <c r="AJ79" s="397"/>
    </row>
    <row r="80" spans="1:36" x14ac:dyDescent="0.25">
      <c r="A80" s="395"/>
      <c r="B80" s="396"/>
      <c r="C80" s="396"/>
      <c r="D80" s="396"/>
      <c r="E80" s="396"/>
      <c r="F80" s="396"/>
      <c r="G80" s="396"/>
      <c r="H80" s="396"/>
      <c r="I80" s="396"/>
      <c r="J80" s="396"/>
      <c r="K80" s="396"/>
      <c r="L80" s="396"/>
      <c r="M80" s="396"/>
      <c r="N80" s="396"/>
      <c r="O80" s="396"/>
      <c r="P80" s="396"/>
      <c r="Q80" s="396"/>
      <c r="R80" s="396"/>
      <c r="S80" s="396"/>
      <c r="T80" s="396"/>
      <c r="U80" s="396"/>
      <c r="V80" s="396"/>
      <c r="W80" s="396"/>
      <c r="X80" s="396"/>
      <c r="Y80" s="396"/>
      <c r="Z80" s="396"/>
      <c r="AA80" s="396"/>
      <c r="AB80" s="396"/>
      <c r="AC80" s="396"/>
      <c r="AD80" s="396"/>
      <c r="AE80" s="396"/>
      <c r="AF80" s="396"/>
      <c r="AG80" s="396"/>
      <c r="AH80" s="396"/>
      <c r="AI80" s="396"/>
      <c r="AJ80" s="397"/>
    </row>
    <row r="81" spans="1:36" x14ac:dyDescent="0.25">
      <c r="A81" s="395"/>
      <c r="B81" s="396"/>
      <c r="C81" s="396"/>
      <c r="D81" s="396"/>
      <c r="E81" s="396"/>
      <c r="F81" s="396"/>
      <c r="G81" s="396"/>
      <c r="H81" s="396"/>
      <c r="I81" s="396"/>
      <c r="J81" s="396"/>
      <c r="K81" s="396"/>
      <c r="L81" s="396"/>
      <c r="M81" s="396"/>
      <c r="N81" s="396"/>
      <c r="O81" s="396"/>
      <c r="P81" s="396"/>
      <c r="Q81" s="396"/>
      <c r="R81" s="396"/>
      <c r="S81" s="396"/>
      <c r="T81" s="396"/>
      <c r="U81" s="396"/>
      <c r="V81" s="396"/>
      <c r="W81" s="396"/>
      <c r="X81" s="396"/>
      <c r="Y81" s="396"/>
      <c r="Z81" s="396"/>
      <c r="AA81" s="396"/>
      <c r="AB81" s="396"/>
      <c r="AC81" s="396"/>
      <c r="AD81" s="396"/>
      <c r="AE81" s="396"/>
      <c r="AF81" s="396"/>
      <c r="AG81" s="396"/>
      <c r="AH81" s="396"/>
      <c r="AI81" s="396"/>
      <c r="AJ81" s="397"/>
    </row>
    <row r="82" spans="1:36" x14ac:dyDescent="0.25">
      <c r="A82" s="395"/>
      <c r="B82" s="396"/>
      <c r="C82" s="396"/>
      <c r="D82" s="396"/>
      <c r="E82" s="396"/>
      <c r="F82" s="396"/>
      <c r="G82" s="396"/>
      <c r="H82" s="396"/>
      <c r="I82" s="396"/>
      <c r="J82" s="396"/>
      <c r="K82" s="396"/>
      <c r="L82" s="396"/>
      <c r="M82" s="396"/>
      <c r="N82" s="396"/>
      <c r="O82" s="396"/>
      <c r="P82" s="396"/>
      <c r="Q82" s="396"/>
      <c r="R82" s="396"/>
      <c r="S82" s="396"/>
      <c r="T82" s="396"/>
      <c r="U82" s="396"/>
      <c r="V82" s="396"/>
      <c r="W82" s="396"/>
      <c r="X82" s="396"/>
      <c r="Y82" s="396"/>
      <c r="Z82" s="396"/>
      <c r="AA82" s="396"/>
      <c r="AB82" s="396"/>
      <c r="AC82" s="396"/>
      <c r="AD82" s="396"/>
      <c r="AE82" s="396"/>
      <c r="AF82" s="396"/>
      <c r="AG82" s="396"/>
      <c r="AH82" s="396"/>
      <c r="AI82" s="396"/>
      <c r="AJ82" s="397"/>
    </row>
    <row r="83" spans="1:36" x14ac:dyDescent="0.25">
      <c r="A83" s="395"/>
      <c r="B83" s="396"/>
      <c r="C83" s="396"/>
      <c r="D83" s="396"/>
      <c r="E83" s="396"/>
      <c r="F83" s="396"/>
      <c r="G83" s="396"/>
      <c r="H83" s="396"/>
      <c r="I83" s="396"/>
      <c r="J83" s="396"/>
      <c r="K83" s="396"/>
      <c r="L83" s="396"/>
      <c r="M83" s="396"/>
      <c r="N83" s="396"/>
      <c r="O83" s="396"/>
      <c r="P83" s="396"/>
      <c r="Q83" s="396"/>
      <c r="R83" s="396"/>
      <c r="S83" s="396"/>
      <c r="T83" s="396"/>
      <c r="U83" s="396"/>
      <c r="V83" s="396"/>
      <c r="W83" s="396"/>
      <c r="X83" s="396"/>
      <c r="Y83" s="396"/>
      <c r="Z83" s="396"/>
      <c r="AA83" s="396"/>
      <c r="AB83" s="396"/>
      <c r="AC83" s="396"/>
      <c r="AD83" s="396"/>
      <c r="AE83" s="396"/>
      <c r="AF83" s="396"/>
      <c r="AG83" s="396"/>
      <c r="AH83" s="396"/>
      <c r="AI83" s="396"/>
      <c r="AJ83" s="397"/>
    </row>
    <row r="84" spans="1:36" x14ac:dyDescent="0.25">
      <c r="A84" s="395"/>
      <c r="B84" s="396"/>
      <c r="C84" s="396"/>
      <c r="D84" s="396"/>
      <c r="E84" s="396"/>
      <c r="F84" s="396"/>
      <c r="G84" s="396"/>
      <c r="H84" s="396"/>
      <c r="I84" s="396"/>
      <c r="J84" s="396"/>
      <c r="K84" s="396"/>
      <c r="L84" s="396"/>
      <c r="M84" s="396"/>
      <c r="N84" s="396"/>
      <c r="O84" s="396"/>
      <c r="P84" s="396"/>
      <c r="Q84" s="396"/>
      <c r="R84" s="396"/>
      <c r="S84" s="396"/>
      <c r="T84" s="396"/>
      <c r="U84" s="396"/>
      <c r="V84" s="396"/>
      <c r="W84" s="396"/>
      <c r="X84" s="396"/>
      <c r="Y84" s="396"/>
      <c r="Z84" s="396"/>
      <c r="AA84" s="396"/>
      <c r="AB84" s="396"/>
      <c r="AC84" s="396"/>
      <c r="AD84" s="396"/>
      <c r="AE84" s="396"/>
      <c r="AF84" s="396"/>
      <c r="AG84" s="396"/>
      <c r="AH84" s="396"/>
      <c r="AI84" s="396"/>
      <c r="AJ84" s="397"/>
    </row>
    <row r="85" spans="1:36" x14ac:dyDescent="0.25">
      <c r="A85" s="395"/>
      <c r="B85" s="396"/>
      <c r="C85" s="396"/>
      <c r="D85" s="396"/>
      <c r="E85" s="396"/>
      <c r="F85" s="396"/>
      <c r="G85" s="396"/>
      <c r="H85" s="396"/>
      <c r="I85" s="396"/>
      <c r="J85" s="396"/>
      <c r="K85" s="396"/>
      <c r="L85" s="396"/>
      <c r="M85" s="396"/>
      <c r="N85" s="396"/>
      <c r="O85" s="396"/>
      <c r="P85" s="396"/>
      <c r="Q85" s="396"/>
      <c r="R85" s="396"/>
      <c r="S85" s="396"/>
      <c r="T85" s="396"/>
      <c r="U85" s="396"/>
      <c r="V85" s="396"/>
      <c r="W85" s="396"/>
      <c r="X85" s="396"/>
      <c r="Y85" s="396"/>
      <c r="Z85" s="396"/>
      <c r="AA85" s="396"/>
      <c r="AB85" s="396"/>
      <c r="AC85" s="396"/>
      <c r="AD85" s="396"/>
      <c r="AE85" s="396"/>
      <c r="AF85" s="396"/>
      <c r="AG85" s="396"/>
      <c r="AH85" s="396"/>
      <c r="AI85" s="396"/>
      <c r="AJ85" s="397"/>
    </row>
    <row r="86" spans="1:36" x14ac:dyDescent="0.25">
      <c r="A86" s="395"/>
      <c r="B86" s="396"/>
      <c r="C86" s="396"/>
      <c r="D86" s="396"/>
      <c r="E86" s="396"/>
      <c r="F86" s="396"/>
      <c r="G86" s="396"/>
      <c r="H86" s="396"/>
      <c r="I86" s="396"/>
      <c r="J86" s="396"/>
      <c r="K86" s="396"/>
      <c r="L86" s="396"/>
      <c r="M86" s="396"/>
      <c r="N86" s="396"/>
      <c r="O86" s="396"/>
      <c r="P86" s="396"/>
      <c r="Q86" s="396"/>
      <c r="R86" s="396"/>
      <c r="S86" s="396"/>
      <c r="T86" s="396"/>
      <c r="U86" s="396"/>
      <c r="V86" s="396"/>
      <c r="W86" s="396"/>
      <c r="X86" s="396"/>
      <c r="Y86" s="396"/>
      <c r="Z86" s="396"/>
      <c r="AA86" s="396"/>
      <c r="AB86" s="396"/>
      <c r="AC86" s="396"/>
      <c r="AD86" s="396"/>
      <c r="AE86" s="396"/>
      <c r="AF86" s="396"/>
      <c r="AG86" s="396"/>
      <c r="AH86" s="396"/>
      <c r="AI86" s="396"/>
      <c r="AJ86" s="397"/>
    </row>
    <row r="87" spans="1:36" ht="15.75" thickBot="1" x14ac:dyDescent="0.3">
      <c r="A87" s="398"/>
      <c r="B87" s="399"/>
      <c r="C87" s="399"/>
      <c r="D87" s="399"/>
      <c r="E87" s="399"/>
      <c r="F87" s="399"/>
      <c r="G87" s="399"/>
      <c r="H87" s="399"/>
      <c r="I87" s="399"/>
      <c r="J87" s="399"/>
      <c r="K87" s="399"/>
      <c r="L87" s="399"/>
      <c r="M87" s="399"/>
      <c r="N87" s="399"/>
      <c r="O87" s="399"/>
      <c r="P87" s="399"/>
      <c r="Q87" s="399"/>
      <c r="R87" s="399"/>
      <c r="S87" s="399"/>
      <c r="T87" s="399"/>
      <c r="U87" s="399"/>
      <c r="V87" s="399"/>
      <c r="W87" s="399"/>
      <c r="X87" s="399"/>
      <c r="Y87" s="399"/>
      <c r="Z87" s="399"/>
      <c r="AA87" s="399"/>
      <c r="AB87" s="399"/>
      <c r="AC87" s="399"/>
      <c r="AD87" s="399"/>
      <c r="AE87" s="399"/>
      <c r="AF87" s="399"/>
      <c r="AG87" s="399"/>
      <c r="AH87" s="399"/>
      <c r="AI87" s="399"/>
      <c r="AJ87" s="400"/>
    </row>
  </sheetData>
  <sheetProtection algorithmName="SHA-512" hashValue="y8mujRSgk/Key4hJe4GaffvQUqdQiNDu6JOsZ9VnUK3GxWAZ0a5Qd2LU/HAiFP188GNB1kamEfBo7o55L8yg/Q==" saltValue="+USbxsxSR9yNN2eoS6iQ3w==" spinCount="100000" sheet="1" objects="1" scenarios="1"/>
  <mergeCells count="5">
    <mergeCell ref="C17:F17"/>
    <mergeCell ref="C19:G19"/>
    <mergeCell ref="N2:Q2"/>
    <mergeCell ref="D2:H2"/>
    <mergeCell ref="S2:V3"/>
  </mergeCells>
  <conditionalFormatting sqref="D23 D14 M17 D20 G17">
    <cfRule type="cellIs" dxfId="25" priority="30" operator="equal">
      <formula>"YES"</formula>
    </cfRule>
    <cfRule type="cellIs" dxfId="24" priority="31" operator="equal">
      <formula>"NO"</formula>
    </cfRule>
    <cfRule type="cellIs" dxfId="23" priority="32" operator="equal">
      <formula>"NO"</formula>
    </cfRule>
  </conditionalFormatting>
  <conditionalFormatting sqref="N2">
    <cfRule type="cellIs" dxfId="22" priority="13" operator="equal">
      <formula>"Requirements Met"</formula>
    </cfRule>
    <cfRule type="cellIs" dxfId="21" priority="14" operator="equal">
      <formula>"violation exists"</formula>
    </cfRule>
  </conditionalFormatting>
  <conditionalFormatting sqref="W17">
    <cfRule type="cellIs" dxfId="20" priority="4" operator="equal">
      <formula>"YES"</formula>
    </cfRule>
    <cfRule type="cellIs" dxfId="19" priority="5" operator="equal">
      <formula>"NO"</formula>
    </cfRule>
    <cfRule type="cellIs" dxfId="18" priority="6" operator="equal">
      <formula>"NO"</formula>
    </cfRule>
  </conditionalFormatting>
  <conditionalFormatting sqref="X17">
    <cfRule type="cellIs" dxfId="17" priority="1" operator="equal">
      <formula>"YES"</formula>
    </cfRule>
    <cfRule type="cellIs" dxfId="16" priority="2" operator="equal">
      <formula>"NO"</formula>
    </cfRule>
    <cfRule type="cellIs" dxfId="15" priority="3" operator="equal">
      <formula>"NO"</formula>
    </cfRule>
  </conditionalFormatting>
  <printOptions horizontalCentered="1"/>
  <pageMargins left="0.3" right="0.28000000000000003" top="0.75" bottom="0.75" header="0.3" footer="0.3"/>
  <pageSetup scale="65" fitToWidth="2" orientation="landscape" r:id="rId1"/>
  <headerFooter>
    <oddHeader>&amp;C&amp;F
&amp;A&amp;R&amp;D
Page &amp;P of &amp;N</oddHeader>
  </headerFooter>
  <colBreaks count="1" manualBreakCount="1">
    <brk id="18" min="1" max="27"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A52F4-D79B-459A-BE61-4FE86019E504}">
  <dimension ref="A1:X35"/>
  <sheetViews>
    <sheetView zoomScale="80" zoomScaleNormal="80" workbookViewId="0"/>
  </sheetViews>
  <sheetFormatPr defaultRowHeight="15" x14ac:dyDescent="0.25"/>
  <cols>
    <col min="1" max="1" width="9.140625" style="489"/>
    <col min="2" max="2" width="17.5703125" style="489" customWidth="1"/>
    <col min="3" max="3" width="12.85546875" style="489" customWidth="1"/>
    <col min="4" max="4" width="6.7109375" style="489" customWidth="1"/>
    <col min="5" max="5" width="12" style="489" customWidth="1"/>
    <col min="6" max="6" width="10.42578125" style="489" customWidth="1"/>
    <col min="7" max="7" width="12.42578125" style="489" customWidth="1"/>
    <col min="8" max="8" width="12" style="489" customWidth="1"/>
    <col min="9" max="9" width="14.5703125" style="489" customWidth="1"/>
    <col min="10" max="10" width="11.42578125" style="489" customWidth="1"/>
    <col min="11" max="11" width="13.7109375" style="489" customWidth="1"/>
    <col min="12" max="12" width="12.5703125" style="489" customWidth="1"/>
    <col min="13" max="13" width="15.85546875" style="489" customWidth="1"/>
    <col min="14" max="14" width="11.85546875" style="489" customWidth="1"/>
    <col min="15" max="16" width="9.140625" style="489"/>
    <col min="17" max="17" width="11" style="489" customWidth="1"/>
    <col min="18" max="18" width="15" style="489" customWidth="1"/>
    <col min="19" max="21" width="9.140625" style="489"/>
    <col min="22" max="22" width="14.5703125" style="489" customWidth="1"/>
    <col min="23" max="23" width="10.42578125" style="489" customWidth="1"/>
    <col min="24" max="24" width="57.42578125" style="489" customWidth="1"/>
    <col min="25" max="16384" width="9.140625" style="489"/>
  </cols>
  <sheetData>
    <row r="1" spans="1:24" ht="22.5" customHeight="1" x14ac:dyDescent="0.25">
      <c r="A1" s="535"/>
      <c r="B1" s="535"/>
      <c r="C1" s="535"/>
      <c r="D1" s="535"/>
      <c r="E1" s="1000" t="s">
        <v>565</v>
      </c>
      <c r="F1" s="535"/>
      <c r="G1" s="535"/>
      <c r="H1" s="535"/>
      <c r="I1" s="535"/>
      <c r="J1" s="535"/>
      <c r="K1" s="535"/>
      <c r="L1" s="535"/>
      <c r="M1" s="535"/>
      <c r="N1" s="535"/>
      <c r="O1" s="535"/>
      <c r="P1" s="535"/>
      <c r="Q1" s="535"/>
      <c r="R1" s="535"/>
      <c r="S1" s="535"/>
      <c r="T1" s="535"/>
      <c r="U1" s="535"/>
      <c r="V1" s="535"/>
      <c r="W1" s="535"/>
      <c r="X1" s="535"/>
    </row>
    <row r="2" spans="1:24" ht="21" x14ac:dyDescent="0.35">
      <c r="A2" s="493"/>
      <c r="B2" s="913" t="s">
        <v>564</v>
      </c>
      <c r="C2" s="493"/>
      <c r="D2" s="493"/>
      <c r="E2" s="493"/>
      <c r="F2" s="493"/>
      <c r="G2" s="493"/>
      <c r="H2" s="493"/>
      <c r="I2" s="493"/>
      <c r="J2" s="493"/>
      <c r="K2" s="493"/>
      <c r="L2" s="493"/>
      <c r="M2" s="535" t="s">
        <v>440</v>
      </c>
      <c r="N2" s="535"/>
      <c r="O2" s="535"/>
      <c r="P2" s="535"/>
      <c r="Q2" s="535"/>
      <c r="R2" s="535"/>
      <c r="S2" s="535"/>
      <c r="T2" s="535"/>
      <c r="U2" s="535"/>
      <c r="V2" s="535"/>
      <c r="W2" s="535"/>
      <c r="X2" s="535"/>
    </row>
    <row r="3" spans="1:24" x14ac:dyDescent="0.25">
      <c r="A3" s="493"/>
      <c r="B3" s="493" t="s">
        <v>441</v>
      </c>
      <c r="C3" s="493"/>
      <c r="D3" s="493"/>
      <c r="E3" s="493"/>
      <c r="F3" s="493"/>
      <c r="G3" s="493"/>
      <c r="H3" s="493"/>
      <c r="I3" s="493"/>
      <c r="J3" s="493"/>
      <c r="K3" s="493"/>
      <c r="L3" s="493"/>
      <c r="M3" s="535" t="s">
        <v>442</v>
      </c>
      <c r="N3" s="535"/>
      <c r="O3" s="535"/>
      <c r="P3" s="535"/>
      <c r="Q3" s="535"/>
      <c r="R3" s="535"/>
      <c r="S3" s="535"/>
      <c r="T3" s="535"/>
      <c r="U3" s="535"/>
      <c r="V3" s="535"/>
      <c r="W3" s="535"/>
      <c r="X3" s="535"/>
    </row>
    <row r="4" spans="1:24" x14ac:dyDescent="0.25">
      <c r="A4" s="493"/>
      <c r="B4" s="493"/>
      <c r="C4" s="493"/>
      <c r="D4" s="493"/>
      <c r="E4" s="493"/>
      <c r="F4" s="493"/>
      <c r="G4" s="493"/>
      <c r="H4" s="493"/>
      <c r="I4" s="493"/>
      <c r="J4" s="493"/>
      <c r="K4" s="493"/>
      <c r="L4" s="493"/>
      <c r="M4" s="535"/>
      <c r="N4" s="535"/>
      <c r="O4" s="535"/>
      <c r="P4" s="535"/>
      <c r="Q4" s="535"/>
      <c r="R4" s="535"/>
      <c r="S4" s="535"/>
      <c r="T4" s="535"/>
      <c r="U4" s="535"/>
      <c r="V4" s="535"/>
      <c r="W4" s="535"/>
      <c r="X4" s="535"/>
    </row>
    <row r="5" spans="1:24" x14ac:dyDescent="0.25">
      <c r="A5" s="535"/>
      <c r="B5" s="493" t="s">
        <v>443</v>
      </c>
      <c r="C5" s="535"/>
      <c r="D5" s="535"/>
      <c r="E5" s="535"/>
      <c r="F5" s="535"/>
      <c r="G5" s="535"/>
      <c r="H5" s="914"/>
      <c r="I5" s="1134" t="s">
        <v>444</v>
      </c>
      <c r="J5" s="1134"/>
      <c r="K5" s="1134"/>
      <c r="L5" s="535"/>
      <c r="M5" s="649" t="s">
        <v>445</v>
      </c>
      <c r="N5" s="535"/>
      <c r="O5" s="535"/>
      <c r="P5" s="535"/>
      <c r="Q5" s="535"/>
      <c r="R5" s="535"/>
      <c r="S5" s="535"/>
      <c r="T5" s="535"/>
      <c r="U5" s="535"/>
      <c r="V5" s="535"/>
      <c r="W5" s="535"/>
      <c r="X5" s="535"/>
    </row>
    <row r="6" spans="1:24" x14ac:dyDescent="0.25">
      <c r="A6" s="535"/>
      <c r="B6" s="493"/>
      <c r="C6" s="915">
        <v>1</v>
      </c>
      <c r="D6" s="915">
        <v>2</v>
      </c>
      <c r="E6" s="915">
        <v>3</v>
      </c>
      <c r="F6" s="915">
        <v>4</v>
      </c>
      <c r="G6" s="915">
        <v>5</v>
      </c>
      <c r="H6" s="916"/>
      <c r="I6" s="915">
        <v>6</v>
      </c>
      <c r="J6" s="915">
        <v>7</v>
      </c>
      <c r="K6" s="915">
        <v>8</v>
      </c>
      <c r="L6" s="535"/>
      <c r="M6" s="649" t="s">
        <v>446</v>
      </c>
      <c r="N6" s="535"/>
      <c r="O6" s="535"/>
      <c r="P6" s="535"/>
      <c r="Q6" s="535"/>
      <c r="R6" s="535"/>
      <c r="S6" s="535"/>
      <c r="T6" s="535"/>
      <c r="U6" s="535"/>
      <c r="V6" s="535"/>
      <c r="W6" s="535"/>
      <c r="X6" s="535"/>
    </row>
    <row r="7" spans="1:24" x14ac:dyDescent="0.25">
      <c r="A7" s="535"/>
      <c r="B7" s="917"/>
      <c r="C7" s="915" t="s">
        <v>447</v>
      </c>
      <c r="D7" s="915" t="s">
        <v>447</v>
      </c>
      <c r="E7" s="918" t="s">
        <v>448</v>
      </c>
      <c r="F7" s="918" t="s">
        <v>449</v>
      </c>
      <c r="G7" s="918" t="s">
        <v>450</v>
      </c>
      <c r="H7" s="535"/>
      <c r="I7" s="915" t="s">
        <v>451</v>
      </c>
      <c r="J7" s="918" t="s">
        <v>452</v>
      </c>
      <c r="K7" s="918" t="s">
        <v>453</v>
      </c>
      <c r="L7" s="535"/>
      <c r="M7" s="535"/>
      <c r="N7" s="535"/>
      <c r="O7" s="535"/>
      <c r="P7" s="535"/>
      <c r="Q7" s="535"/>
      <c r="R7" s="535"/>
      <c r="S7" s="535"/>
      <c r="T7" s="535"/>
      <c r="U7" s="535"/>
      <c r="V7" s="535"/>
      <c r="W7" s="535"/>
      <c r="X7" s="535"/>
    </row>
    <row r="8" spans="1:24" ht="84" customHeight="1" x14ac:dyDescent="0.25">
      <c r="A8" s="535"/>
      <c r="B8" s="919" t="s">
        <v>454</v>
      </c>
      <c r="C8" s="920" t="s">
        <v>455</v>
      </c>
      <c r="D8" s="920" t="s">
        <v>456</v>
      </c>
      <c r="E8" s="920" t="s">
        <v>457</v>
      </c>
      <c r="F8" s="920" t="s">
        <v>458</v>
      </c>
      <c r="G8" s="921" t="s">
        <v>459</v>
      </c>
      <c r="H8" s="535"/>
      <c r="I8" s="920" t="s">
        <v>460</v>
      </c>
      <c r="J8" s="922" t="s">
        <v>461</v>
      </c>
      <c r="K8" s="920" t="s">
        <v>462</v>
      </c>
      <c r="L8" s="535"/>
      <c r="M8" s="923" t="s">
        <v>463</v>
      </c>
      <c r="N8" s="535"/>
      <c r="O8" s="535"/>
      <c r="P8" s="535"/>
      <c r="Q8" s="535"/>
      <c r="R8" s="535"/>
      <c r="S8" s="535"/>
      <c r="T8" s="535"/>
      <c r="U8" s="535"/>
      <c r="V8" s="535"/>
      <c r="W8" s="535"/>
      <c r="X8" s="535"/>
    </row>
    <row r="9" spans="1:24" x14ac:dyDescent="0.25">
      <c r="A9" s="535"/>
      <c r="B9" s="924" t="s">
        <v>464</v>
      </c>
      <c r="C9" s="925">
        <f ca="1">-+MIN('Trial Dep. Projections Sumry'!S16:W16)</f>
        <v>374061.85544101853</v>
      </c>
      <c r="D9" s="926">
        <f ca="1">+MATCH(-C9,'Trial Dep. Projections Sumry'!I16:AB16,FALSE)</f>
        <v>15</v>
      </c>
      <c r="E9" s="925">
        <f ca="1">+(C9/D9)/'Trial Deposits Analysis'!$C$35</f>
        <v>415.62428382335389</v>
      </c>
      <c r="F9" s="927">
        <f ca="1">1/(1+'Trial Deposits Analysis'!E$9)^(10)</f>
        <v>0.82034829987515534</v>
      </c>
      <c r="G9" s="925">
        <f ca="1">+E9*F9</f>
        <v>340.9566746213174</v>
      </c>
      <c r="H9" s="535"/>
      <c r="I9" s="928">
        <f>+'Trial Deposits Analysis'!G15</f>
        <v>330</v>
      </c>
      <c r="J9" s="928">
        <f ca="1">+G9+I9</f>
        <v>670.95667462131746</v>
      </c>
      <c r="K9" s="929">
        <f ca="1">+J9/I9</f>
        <v>2.0332020443070227</v>
      </c>
      <c r="L9" s="535"/>
      <c r="M9" s="535"/>
      <c r="N9" s="535"/>
      <c r="O9" s="535"/>
      <c r="P9" s="535"/>
      <c r="Q9" s="535"/>
      <c r="R9" s="535"/>
      <c r="S9" s="535"/>
      <c r="T9" s="535"/>
      <c r="U9" s="535"/>
      <c r="V9" s="535"/>
      <c r="W9" s="535"/>
      <c r="X9" s="535"/>
    </row>
    <row r="10" spans="1:24" x14ac:dyDescent="0.25">
      <c r="A10" s="535"/>
      <c r="B10" s="924" t="s">
        <v>465</v>
      </c>
      <c r="C10" s="925">
        <f ca="1">-+MIN('Trial Dep. Projections Sumry'!S16:AA16)</f>
        <v>374061.85544101853</v>
      </c>
      <c r="D10" s="926">
        <f ca="1">+MATCH(-C10,'Trial Dep. Projections Sumry'!I16:AB16,FALSE)</f>
        <v>15</v>
      </c>
      <c r="E10" s="925">
        <f ca="1">+(C10/D10)/'Trial Deposits Analysis'!$C$35</f>
        <v>415.62428382335389</v>
      </c>
      <c r="F10" s="927">
        <f ca="1">1/(1+'Trial Deposits Analysis'!E$9)^(10)</f>
        <v>0.82034829987515534</v>
      </c>
      <c r="G10" s="925">
        <f ca="1">+E10*F10</f>
        <v>340.9566746213174</v>
      </c>
      <c r="H10" s="535"/>
      <c r="I10" s="928">
        <f>+I9</f>
        <v>330</v>
      </c>
      <c r="J10" s="928">
        <f ca="1">+G10+I10</f>
        <v>670.95667462131746</v>
      </c>
      <c r="K10" s="929">
        <f ca="1">+J10/I10</f>
        <v>2.0332020443070227</v>
      </c>
      <c r="L10" s="535"/>
      <c r="M10" s="535"/>
      <c r="N10" s="535"/>
      <c r="O10" s="535"/>
      <c r="P10" s="535"/>
      <c r="Q10" s="535"/>
      <c r="R10" s="535"/>
      <c r="S10" s="535"/>
      <c r="T10" s="535"/>
      <c r="U10" s="535"/>
      <c r="V10" s="535"/>
      <c r="W10" s="535"/>
      <c r="X10" s="535"/>
    </row>
    <row r="11" spans="1:24" ht="15.75" thickBot="1" x14ac:dyDescent="0.3">
      <c r="A11" s="535"/>
      <c r="B11" s="924" t="s">
        <v>466</v>
      </c>
      <c r="C11" s="925">
        <f ca="1">-+MIN('Trial Dep. Projections Sumry'!S16:AB16)</f>
        <v>633306.94603041152</v>
      </c>
      <c r="D11" s="926">
        <f ca="1">+MATCH(-C11,'Trial Dep. Projections Sumry'!I16:AB16,FALSE)</f>
        <v>20</v>
      </c>
      <c r="E11" s="925">
        <f ca="1">+(C11/D11)/'Trial Deposits Analysis'!$C$35</f>
        <v>527.75578835867623</v>
      </c>
      <c r="F11" s="927">
        <f ca="1">1/(1+'Trial Deposits Analysis'!E$9)^(10+4)</f>
        <v>0.75787502458828948</v>
      </c>
      <c r="G11" s="925">
        <f ca="1">+E11*F11</f>
        <v>399.97293107894387</v>
      </c>
      <c r="H11" s="535"/>
      <c r="I11" s="928">
        <f>+I10</f>
        <v>330</v>
      </c>
      <c r="J11" s="928">
        <f ca="1">+G11+I11</f>
        <v>729.97293107894393</v>
      </c>
      <c r="K11" s="929">
        <f ca="1">+J11/I11</f>
        <v>2.212039185087709</v>
      </c>
      <c r="L11" s="535"/>
      <c r="M11" s="535"/>
      <c r="N11" s="535"/>
      <c r="O11" s="535"/>
      <c r="P11" s="535"/>
      <c r="Q11" s="535"/>
      <c r="R11" s="535"/>
      <c r="S11" s="535"/>
      <c r="T11" s="535"/>
      <c r="U11" s="535"/>
      <c r="V11" s="535"/>
      <c r="W11" s="535"/>
      <c r="X11" s="535"/>
    </row>
    <row r="12" spans="1:24" ht="15.75" thickBot="1" x14ac:dyDescent="0.3">
      <c r="A12" s="535"/>
      <c r="B12" s="535"/>
      <c r="C12" s="535"/>
      <c r="D12" s="535"/>
      <c r="E12" s="535"/>
      <c r="F12" s="535"/>
      <c r="G12" s="535"/>
      <c r="H12" s="535"/>
      <c r="I12" s="535"/>
      <c r="J12" s="535"/>
      <c r="K12" s="535"/>
      <c r="L12" s="930" t="s">
        <v>467</v>
      </c>
      <c r="M12" s="942">
        <v>0</v>
      </c>
      <c r="N12" s="535"/>
      <c r="O12" s="535"/>
      <c r="P12" s="535"/>
      <c r="Q12" s="535"/>
      <c r="R12" s="535"/>
      <c r="S12" s="535"/>
      <c r="T12" s="535"/>
      <c r="U12" s="535"/>
      <c r="V12" s="535"/>
      <c r="W12" s="535"/>
      <c r="X12" s="535"/>
    </row>
    <row r="13" spans="1:24" x14ac:dyDescent="0.25">
      <c r="A13" s="535"/>
      <c r="B13" s="535"/>
      <c r="C13" s="535"/>
      <c r="D13" s="535"/>
      <c r="E13" s="535"/>
      <c r="F13" s="930"/>
      <c r="G13" s="931"/>
      <c r="H13" s="535"/>
      <c r="I13" s="535"/>
      <c r="J13" s="535"/>
      <c r="K13" s="535"/>
      <c r="L13" s="535"/>
      <c r="M13" s="535"/>
      <c r="N13" s="535"/>
      <c r="O13" s="535"/>
      <c r="P13" s="535"/>
      <c r="Q13" s="535"/>
      <c r="R13" s="535"/>
      <c r="S13" s="535"/>
      <c r="T13" s="535"/>
      <c r="U13" s="535"/>
      <c r="V13" s="535"/>
      <c r="W13" s="535"/>
      <c r="X13" s="535"/>
    </row>
    <row r="14" spans="1:24" x14ac:dyDescent="0.25">
      <c r="A14" s="535"/>
      <c r="B14" s="535"/>
      <c r="C14" s="535"/>
      <c r="D14" s="930"/>
      <c r="E14" s="931"/>
      <c r="F14" s="535"/>
      <c r="G14" s="535"/>
      <c r="H14" s="535"/>
      <c r="I14" s="535"/>
      <c r="J14" s="535"/>
      <c r="K14" s="535"/>
      <c r="L14" s="535"/>
      <c r="M14" s="535"/>
      <c r="N14" s="535"/>
      <c r="O14" s="535"/>
      <c r="P14" s="535"/>
      <c r="Q14" s="535"/>
      <c r="R14" s="535"/>
      <c r="S14" s="535"/>
      <c r="T14" s="535"/>
      <c r="U14" s="535"/>
      <c r="V14" s="535"/>
      <c r="W14" s="535"/>
      <c r="X14" s="535"/>
    </row>
    <row r="15" spans="1:24" x14ac:dyDescent="0.25">
      <c r="A15" s="535"/>
      <c r="B15" s="493" t="s">
        <v>468</v>
      </c>
      <c r="C15" s="535"/>
      <c r="D15" s="930"/>
      <c r="E15" s="931"/>
      <c r="F15" s="535"/>
      <c r="G15" s="535"/>
      <c r="H15" s="535"/>
      <c r="I15" s="1133" t="s">
        <v>444</v>
      </c>
      <c r="J15" s="1133"/>
      <c r="K15" s="535"/>
      <c r="L15" s="535"/>
      <c r="M15" s="535"/>
      <c r="N15" s="535"/>
      <c r="O15" s="535"/>
      <c r="P15" s="535"/>
      <c r="Q15" s="535"/>
      <c r="R15" s="535"/>
      <c r="S15" s="535"/>
      <c r="T15" s="535"/>
      <c r="U15" s="535"/>
      <c r="V15" s="535"/>
      <c r="W15" s="535"/>
      <c r="X15" s="535"/>
    </row>
    <row r="16" spans="1:24" x14ac:dyDescent="0.25">
      <c r="A16" s="535"/>
      <c r="B16" s="535"/>
      <c r="C16" s="915">
        <v>1</v>
      </c>
      <c r="D16" s="915">
        <v>2</v>
      </c>
      <c r="E16" s="915">
        <v>3</v>
      </c>
      <c r="F16" s="915">
        <v>4</v>
      </c>
      <c r="G16" s="535"/>
      <c r="H16" s="535"/>
      <c r="I16" s="915">
        <v>5</v>
      </c>
      <c r="J16" s="915">
        <v>6</v>
      </c>
      <c r="K16" s="535"/>
      <c r="L16" s="535"/>
      <c r="M16" s="535"/>
      <c r="N16" s="535"/>
      <c r="O16" s="535"/>
      <c r="P16" s="535"/>
      <c r="Q16" s="535"/>
      <c r="R16" s="535"/>
      <c r="S16" s="535"/>
      <c r="T16" s="535"/>
      <c r="U16" s="535"/>
      <c r="V16" s="535"/>
      <c r="W16" s="535"/>
      <c r="X16" s="535"/>
    </row>
    <row r="17" spans="1:24" x14ac:dyDescent="0.25">
      <c r="A17" s="535"/>
      <c r="B17" s="932"/>
      <c r="C17" s="915" t="s">
        <v>447</v>
      </c>
      <c r="D17" s="915" t="s">
        <v>447</v>
      </c>
      <c r="E17" s="918" t="s">
        <v>449</v>
      </c>
      <c r="F17" s="918" t="s">
        <v>469</v>
      </c>
      <c r="G17" s="535"/>
      <c r="H17" s="535"/>
      <c r="I17" s="918" t="s">
        <v>470</v>
      </c>
      <c r="J17" s="915" t="s">
        <v>447</v>
      </c>
      <c r="K17" s="535"/>
      <c r="L17" s="535"/>
      <c r="M17" s="535"/>
      <c r="N17" s="535"/>
      <c r="O17" s="535"/>
      <c r="P17" s="535"/>
      <c r="Q17" s="535"/>
      <c r="R17" s="535"/>
      <c r="S17" s="535"/>
      <c r="T17" s="535"/>
      <c r="U17" s="535"/>
      <c r="V17" s="535"/>
      <c r="W17" s="535"/>
      <c r="X17" s="535"/>
    </row>
    <row r="18" spans="1:24" ht="68.25" x14ac:dyDescent="0.25">
      <c r="A18" s="535"/>
      <c r="B18" s="919" t="s">
        <v>454</v>
      </c>
      <c r="C18" s="920" t="s">
        <v>471</v>
      </c>
      <c r="D18" s="920" t="s">
        <v>472</v>
      </c>
      <c r="E18" s="920" t="s">
        <v>473</v>
      </c>
      <c r="F18" s="921" t="s">
        <v>474</v>
      </c>
      <c r="G18" s="535"/>
      <c r="H18" s="535"/>
      <c r="I18" s="921" t="s">
        <v>475</v>
      </c>
      <c r="J18" s="933" t="s">
        <v>476</v>
      </c>
      <c r="K18" s="535"/>
      <c r="L18" s="535"/>
      <c r="M18" s="923" t="s">
        <v>477</v>
      </c>
      <c r="N18" s="535"/>
      <c r="O18" s="535"/>
      <c r="P18" s="535"/>
      <c r="Q18" s="535"/>
      <c r="R18" s="535"/>
      <c r="S18" s="535"/>
      <c r="T18" s="535"/>
      <c r="U18" s="535"/>
      <c r="V18" s="535"/>
      <c r="W18" s="535"/>
      <c r="X18" s="535"/>
    </row>
    <row r="19" spans="1:24" x14ac:dyDescent="0.25">
      <c r="A19" s="535"/>
      <c r="B19" s="924" t="s">
        <v>464</v>
      </c>
      <c r="C19" s="925">
        <f t="shared" ref="C19:D21" ca="1" si="0">+C9</f>
        <v>374061.85544101853</v>
      </c>
      <c r="D19" s="926">
        <f t="shared" ca="1" si="0"/>
        <v>15</v>
      </c>
      <c r="E19" s="927">
        <f ca="1">1*1/+((1+'Trial Deposits Analysis'!E$9)^((D9-10)/2))</f>
        <v>0.95169890712867578</v>
      </c>
      <c r="F19" s="925">
        <f ca="1">+C9*E19</f>
        <v>355994.25902174204</v>
      </c>
      <c r="G19" s="535"/>
      <c r="H19" s="535"/>
      <c r="I19" s="928">
        <f ca="1">+F19/'Trial Deposits Analysis'!$C$35</f>
        <v>5933.2376503623673</v>
      </c>
      <c r="J19" s="536">
        <f ca="1">OFFSET('Trial Dep. Projections Sumry'!$H$50,0,D9)</f>
        <v>-307888.67599465244</v>
      </c>
      <c r="K19" s="535"/>
      <c r="L19" s="535"/>
      <c r="M19" s="535"/>
      <c r="N19" s="535"/>
      <c r="O19" s="535"/>
      <c r="P19" s="535"/>
      <c r="Q19" s="535"/>
      <c r="R19" s="535"/>
      <c r="S19" s="535"/>
      <c r="T19" s="535"/>
      <c r="U19" s="535"/>
      <c r="V19" s="535"/>
      <c r="W19" s="535"/>
      <c r="X19" s="535"/>
    </row>
    <row r="20" spans="1:24" x14ac:dyDescent="0.25">
      <c r="A20" s="535"/>
      <c r="B20" s="924" t="s">
        <v>465</v>
      </c>
      <c r="C20" s="925">
        <f t="shared" ca="1" si="0"/>
        <v>374061.85544101853</v>
      </c>
      <c r="D20" s="926">
        <f t="shared" ca="1" si="0"/>
        <v>15</v>
      </c>
      <c r="E20" s="927">
        <f ca="1">1*1/+((1+'Trial Deposits Analysis'!E$9)^((D10-10)/2))</f>
        <v>0.95169890712867578</v>
      </c>
      <c r="F20" s="925">
        <f ca="1">+C10*E20</f>
        <v>355994.25902174204</v>
      </c>
      <c r="G20" s="535"/>
      <c r="H20" s="535"/>
      <c r="I20" s="928">
        <f ca="1">+F20/'Trial Deposits Analysis'!$C$35</f>
        <v>5933.2376503623673</v>
      </c>
      <c r="J20" s="536">
        <f ca="1">OFFSET('Trial Dep. Projections Sumry'!$H$50,0,D10)</f>
        <v>-307888.67599465244</v>
      </c>
      <c r="K20" s="535"/>
      <c r="L20" s="535"/>
      <c r="M20" s="535"/>
      <c r="N20" s="535"/>
      <c r="O20" s="535"/>
      <c r="P20" s="535"/>
      <c r="Q20" s="535"/>
      <c r="R20" s="535"/>
      <c r="S20" s="535"/>
      <c r="T20" s="535"/>
      <c r="U20" s="535"/>
      <c r="V20" s="535"/>
      <c r="W20" s="535"/>
      <c r="X20" s="535"/>
    </row>
    <row r="21" spans="1:24" ht="15.75" thickBot="1" x14ac:dyDescent="0.3">
      <c r="A21" s="535"/>
      <c r="B21" s="924" t="s">
        <v>466</v>
      </c>
      <c r="C21" s="925">
        <f t="shared" ca="1" si="0"/>
        <v>633306.94603041152</v>
      </c>
      <c r="D21" s="926">
        <f t="shared" ca="1" si="0"/>
        <v>20</v>
      </c>
      <c r="E21" s="927">
        <f ca="1">1*1/+((1+'Trial Deposits Analysis'!E$9)^((D11-10)/2))</f>
        <v>0.90573080982991594</v>
      </c>
      <c r="F21" s="925">
        <f ca="1">+C11*E21</f>
        <v>573605.61309903546</v>
      </c>
      <c r="G21" s="535"/>
      <c r="H21" s="535"/>
      <c r="I21" s="928">
        <f ca="1">+F21/'Trial Deposits Analysis'!$C$35</f>
        <v>9560.0935516505906</v>
      </c>
      <c r="J21" s="536">
        <f ca="1">OFFSET('Trial Dep. Projections Sumry'!$H$50,0,D11)</f>
        <v>-560246.4089169699</v>
      </c>
      <c r="K21" s="535"/>
      <c r="L21" s="535"/>
      <c r="M21" s="535"/>
      <c r="N21" s="535"/>
      <c r="O21" s="535"/>
      <c r="P21" s="535"/>
      <c r="Q21" s="535"/>
      <c r="R21" s="535"/>
      <c r="S21" s="535"/>
      <c r="T21" s="535"/>
      <c r="U21" s="535"/>
      <c r="V21" s="535"/>
      <c r="W21" s="535"/>
      <c r="X21" s="535"/>
    </row>
    <row r="22" spans="1:24" ht="15.75" thickBot="1" x14ac:dyDescent="0.3">
      <c r="A22" s="535"/>
      <c r="B22" s="493"/>
      <c r="C22" s="493"/>
      <c r="D22" s="535"/>
      <c r="E22" s="535"/>
      <c r="F22" s="535"/>
      <c r="G22" s="535"/>
      <c r="H22" s="535"/>
      <c r="I22" s="535"/>
      <c r="J22" s="535"/>
      <c r="K22" s="535"/>
      <c r="L22" s="930" t="s">
        <v>478</v>
      </c>
      <c r="M22" s="942">
        <v>0</v>
      </c>
      <c r="N22" s="535"/>
      <c r="O22" s="535"/>
      <c r="P22" s="535"/>
      <c r="Q22" s="535"/>
      <c r="R22" s="535"/>
      <c r="S22" s="535"/>
      <c r="T22" s="535"/>
      <c r="U22" s="535"/>
      <c r="V22" s="535"/>
      <c r="W22" s="535"/>
      <c r="X22" s="535"/>
    </row>
    <row r="23" spans="1:24" x14ac:dyDescent="0.25">
      <c r="A23" s="535"/>
      <c r="B23" s="934"/>
      <c r="C23" s="493"/>
      <c r="D23" s="493"/>
      <c r="E23" s="493"/>
      <c r="F23" s="535"/>
      <c r="G23" s="935"/>
      <c r="H23" s="535"/>
      <c r="I23" s="535"/>
      <c r="J23" s="493"/>
      <c r="K23" s="535"/>
      <c r="L23" s="930"/>
      <c r="M23" s="930"/>
      <c r="N23" s="535"/>
      <c r="O23" s="535"/>
      <c r="P23" s="535"/>
      <c r="Q23" s="535"/>
      <c r="R23" s="535"/>
      <c r="S23" s="535"/>
      <c r="T23" s="535"/>
      <c r="U23" s="535"/>
      <c r="V23" s="535"/>
      <c r="W23" s="535"/>
      <c r="X23" s="535"/>
    </row>
    <row r="24" spans="1:24" ht="18.75" x14ac:dyDescent="0.3">
      <c r="A24" s="535"/>
      <c r="B24" s="934"/>
      <c r="C24" s="493"/>
      <c r="D24" s="493"/>
      <c r="E24" s="493"/>
      <c r="F24" s="535"/>
      <c r="G24" s="935"/>
      <c r="H24" s="934"/>
      <c r="I24" s="934"/>
      <c r="J24" s="493"/>
      <c r="K24" s="535"/>
      <c r="L24" s="930"/>
      <c r="M24" s="930"/>
      <c r="N24" s="535"/>
      <c r="O24" s="535"/>
      <c r="P24" s="535"/>
      <c r="Q24" s="535"/>
      <c r="R24" s="936"/>
      <c r="S24" s="936"/>
      <c r="T24" s="937"/>
      <c r="U24" s="938" t="s">
        <v>479</v>
      </c>
      <c r="V24" s="939">
        <f ca="1">OFFSET('Trial Dep. Projections Sumry'!$H$50,0,20)</f>
        <v>-560246.4089169699</v>
      </c>
      <c r="W24" s="535"/>
      <c r="X24" s="535"/>
    </row>
    <row r="25" spans="1:24" x14ac:dyDescent="0.25">
      <c r="A25" s="535"/>
      <c r="B25" s="493" t="s">
        <v>480</v>
      </c>
      <c r="C25" s="493"/>
      <c r="D25" s="493"/>
      <c r="E25" s="493"/>
      <c r="F25" s="535"/>
      <c r="G25" s="935"/>
      <c r="H25" s="934"/>
      <c r="I25" s="1133" t="s">
        <v>444</v>
      </c>
      <c r="J25" s="1133"/>
      <c r="K25" s="1133"/>
      <c r="L25" s="930"/>
      <c r="M25" s="923"/>
      <c r="N25" s="923"/>
      <c r="O25" s="923"/>
      <c r="P25" s="535"/>
      <c r="Q25" s="535"/>
      <c r="R25" s="535"/>
      <c r="S25" s="535"/>
      <c r="T25" s="535"/>
      <c r="U25" s="535"/>
      <c r="V25" s="535"/>
      <c r="W25" s="535"/>
      <c r="X25" s="535"/>
    </row>
    <row r="26" spans="1:24" x14ac:dyDescent="0.25">
      <c r="A26" s="535"/>
      <c r="B26" s="535"/>
      <c r="C26" s="915">
        <v>1</v>
      </c>
      <c r="D26" s="915">
        <v>2</v>
      </c>
      <c r="E26" s="915">
        <v>3</v>
      </c>
      <c r="F26" s="915">
        <v>4</v>
      </c>
      <c r="G26" s="915">
        <v>5</v>
      </c>
      <c r="H26" s="916"/>
      <c r="I26" s="915">
        <v>6</v>
      </c>
      <c r="J26" s="915">
        <v>7</v>
      </c>
      <c r="K26" s="915">
        <v>8</v>
      </c>
      <c r="L26" s="535"/>
      <c r="M26" s="923"/>
      <c r="N26" s="923"/>
      <c r="O26" s="923"/>
      <c r="P26" s="535"/>
      <c r="Q26" s="535"/>
      <c r="R26" s="535"/>
      <c r="S26" s="535"/>
      <c r="T26" s="535"/>
      <c r="U26" s="535"/>
      <c r="V26" s="535"/>
      <c r="W26" s="535"/>
      <c r="X26" s="535"/>
    </row>
    <row r="27" spans="1:24" x14ac:dyDescent="0.25">
      <c r="A27" s="535"/>
      <c r="B27" s="932"/>
      <c r="C27" s="915" t="s">
        <v>447</v>
      </c>
      <c r="D27" s="915" t="s">
        <v>447</v>
      </c>
      <c r="E27" s="918" t="s">
        <v>448</v>
      </c>
      <c r="F27" s="918" t="s">
        <v>449</v>
      </c>
      <c r="G27" s="918" t="s">
        <v>450</v>
      </c>
      <c r="H27" s="535"/>
      <c r="I27" s="915" t="s">
        <v>451</v>
      </c>
      <c r="J27" s="918" t="s">
        <v>452</v>
      </c>
      <c r="K27" s="918" t="s">
        <v>453</v>
      </c>
      <c r="L27" s="535"/>
      <c r="M27" s="923"/>
      <c r="N27" s="923"/>
      <c r="O27" s="923"/>
      <c r="P27" s="535"/>
      <c r="Q27" s="535"/>
      <c r="R27" s="535"/>
      <c r="S27" s="535"/>
      <c r="T27" s="535"/>
      <c r="U27" s="535"/>
      <c r="V27" s="535"/>
      <c r="W27" s="535"/>
      <c r="X27" s="535"/>
    </row>
    <row r="28" spans="1:24" ht="77.25" customHeight="1" x14ac:dyDescent="0.25">
      <c r="A28" s="535"/>
      <c r="B28" s="919" t="str">
        <f>+B18</f>
        <v>Period for Adjustment Analysis</v>
      </c>
      <c r="C28" s="920" t="s">
        <v>471</v>
      </c>
      <c r="D28" s="920" t="s">
        <v>472</v>
      </c>
      <c r="E28" s="940" t="s">
        <v>481</v>
      </c>
      <c r="F28" s="940" t="s">
        <v>458</v>
      </c>
      <c r="G28" s="941" t="s">
        <v>482</v>
      </c>
      <c r="H28" s="535"/>
      <c r="I28" s="920" t="s">
        <v>483</v>
      </c>
      <c r="J28" s="941" t="s">
        <v>484</v>
      </c>
      <c r="K28" s="940" t="s">
        <v>485</v>
      </c>
      <c r="L28" s="535"/>
      <c r="M28" s="923" t="s">
        <v>486</v>
      </c>
      <c r="N28" s="535"/>
      <c r="O28" s="535"/>
      <c r="P28" s="535"/>
      <c r="Q28" s="535"/>
      <c r="R28" s="535"/>
      <c r="S28" s="535"/>
      <c r="T28" s="535"/>
      <c r="U28" s="535"/>
      <c r="V28" s="535"/>
      <c r="W28" s="535"/>
      <c r="X28" s="535"/>
    </row>
    <row r="29" spans="1:24" x14ac:dyDescent="0.25">
      <c r="A29" s="535"/>
      <c r="B29" s="924" t="str">
        <f>+B19</f>
        <v>Relative Years 11-15</v>
      </c>
      <c r="C29" s="925">
        <f t="shared" ref="C29:D31" ca="1" si="1">+C9</f>
        <v>374061.85544101853</v>
      </c>
      <c r="D29" s="926">
        <f t="shared" ca="1" si="1"/>
        <v>15</v>
      </c>
      <c r="E29" s="925">
        <f ca="1">+(C29/(D29-10))/'Trial Deposits Analysis'!$C$35</f>
        <v>1246.872851470062</v>
      </c>
      <c r="F29" s="927">
        <f ca="1">1/(((1+'Trial Deposits Analysis'!E$9)^((D29-10)*0.5)))</f>
        <v>0.95169890712867578</v>
      </c>
      <c r="G29" s="925">
        <f ca="1">+E29*F29</f>
        <v>1186.6475300724737</v>
      </c>
      <c r="H29" s="535"/>
      <c r="I29" s="928">
        <f>+'Trial Dep. Projections Sumry'!R37/'Trial Deposits Analysis'!$C$35</f>
        <v>394.38054764536264</v>
      </c>
      <c r="J29" s="928">
        <f ca="1">+G29+I29</f>
        <v>1581.0280777178364</v>
      </c>
      <c r="K29" s="929">
        <f ca="1">+J29/I29</f>
        <v>4.0088896046149278</v>
      </c>
      <c r="L29" s="535"/>
      <c r="M29" s="535"/>
      <c r="N29" s="535"/>
      <c r="O29" s="535"/>
      <c r="P29" s="535"/>
      <c r="Q29" s="535"/>
      <c r="R29" s="535"/>
      <c r="S29" s="535"/>
      <c r="T29" s="535"/>
      <c r="U29" s="535"/>
      <c r="V29" s="535"/>
      <c r="W29" s="535"/>
      <c r="X29" s="535"/>
    </row>
    <row r="30" spans="1:24" x14ac:dyDescent="0.25">
      <c r="A30" s="535"/>
      <c r="B30" s="924" t="str">
        <f>+B20</f>
        <v>Relative Years 11-19</v>
      </c>
      <c r="C30" s="925">
        <f t="shared" ca="1" si="1"/>
        <v>374061.85544101853</v>
      </c>
      <c r="D30" s="926">
        <f t="shared" ca="1" si="1"/>
        <v>15</v>
      </c>
      <c r="E30" s="925">
        <f ca="1">+(C30/(D30-10))/'Trial Deposits Analysis'!$C$35</f>
        <v>1246.872851470062</v>
      </c>
      <c r="F30" s="927">
        <f ca="1">1/(((1+'Trial Deposits Analysis'!E$9)^((D30-10)*0.5)))</f>
        <v>0.95169890712867578</v>
      </c>
      <c r="G30" s="925">
        <f ca="1">+E30*F30</f>
        <v>1186.6475300724737</v>
      </c>
      <c r="H30" s="535"/>
      <c r="I30" s="928">
        <f>+I29</f>
        <v>394.38054764536264</v>
      </c>
      <c r="J30" s="928">
        <f ca="1">+G30+I30</f>
        <v>1581.0280777178364</v>
      </c>
      <c r="K30" s="929">
        <f ca="1">+J30/I30</f>
        <v>4.0088896046149278</v>
      </c>
      <c r="L30" s="535"/>
      <c r="M30" s="535"/>
      <c r="N30" s="535"/>
      <c r="O30" s="535"/>
      <c r="P30" s="535"/>
      <c r="Q30" s="535"/>
      <c r="R30" s="535"/>
      <c r="S30" s="535"/>
      <c r="T30" s="535"/>
      <c r="U30" s="535"/>
      <c r="V30" s="535"/>
      <c r="W30" s="535"/>
      <c r="X30" s="535"/>
    </row>
    <row r="31" spans="1:24" ht="15.75" thickBot="1" x14ac:dyDescent="0.3">
      <c r="A31" s="535"/>
      <c r="B31" s="924" t="str">
        <f>+B21</f>
        <v>Relative Years 11-20</v>
      </c>
      <c r="C31" s="925">
        <f t="shared" ca="1" si="1"/>
        <v>633306.94603041152</v>
      </c>
      <c r="D31" s="926">
        <f t="shared" ca="1" si="1"/>
        <v>20</v>
      </c>
      <c r="E31" s="925">
        <f ca="1">+(C31/(D31-10))/'Trial Deposits Analysis'!$C$35</f>
        <v>1055.5115767173525</v>
      </c>
      <c r="F31" s="927">
        <f ca="1">1/(((1+'Trial Deposits Analysis'!E$9)^((D31-10)*0.6)))</f>
        <v>0.88797138218619198</v>
      </c>
      <c r="G31" s="925">
        <f ca="1">+E31*F31</f>
        <v>937.26407369123433</v>
      </c>
      <c r="H31" s="535"/>
      <c r="I31" s="928">
        <f>+I30</f>
        <v>394.38054764536264</v>
      </c>
      <c r="J31" s="928">
        <f ca="1">+G31+I31</f>
        <v>1331.6446213365971</v>
      </c>
      <c r="K31" s="929">
        <f ca="1">+J31/I31</f>
        <v>3.3765474217406051</v>
      </c>
      <c r="L31" s="535"/>
      <c r="M31" s="535"/>
      <c r="N31" s="535"/>
      <c r="O31" s="535"/>
      <c r="P31" s="535"/>
      <c r="Q31" s="535"/>
      <c r="R31" s="535"/>
      <c r="S31" s="535"/>
      <c r="T31" s="535"/>
      <c r="U31" s="535"/>
      <c r="V31" s="535"/>
      <c r="W31" s="535"/>
      <c r="X31" s="535"/>
    </row>
    <row r="32" spans="1:24" ht="15.75" thickBot="1" x14ac:dyDescent="0.3">
      <c r="A32" s="535"/>
      <c r="B32" s="600"/>
      <c r="C32" s="493"/>
      <c r="D32" s="493"/>
      <c r="E32" s="535"/>
      <c r="F32" s="535"/>
      <c r="G32" s="535"/>
      <c r="H32" s="535"/>
      <c r="I32" s="535"/>
      <c r="J32" s="535"/>
      <c r="K32" s="535"/>
      <c r="L32" s="930" t="s">
        <v>487</v>
      </c>
      <c r="M32" s="942">
        <v>0</v>
      </c>
      <c r="N32" s="535"/>
      <c r="O32" s="535"/>
      <c r="P32" s="535"/>
      <c r="Q32" s="535"/>
      <c r="R32" s="535"/>
      <c r="S32" s="535"/>
      <c r="T32" s="535"/>
      <c r="U32" s="535"/>
      <c r="V32" s="535"/>
      <c r="W32" s="535"/>
      <c r="X32" s="535"/>
    </row>
    <row r="33" spans="1:24" x14ac:dyDescent="0.25">
      <c r="A33" s="535"/>
      <c r="B33" s="493"/>
      <c r="C33" s="535"/>
      <c r="D33" s="493"/>
      <c r="E33" s="493"/>
      <c r="F33" s="535"/>
      <c r="G33" s="535"/>
      <c r="H33" s="535"/>
      <c r="I33" s="535"/>
      <c r="J33" s="535"/>
      <c r="K33" s="535"/>
      <c r="L33" s="535"/>
      <c r="M33" s="535"/>
      <c r="N33" s="535"/>
      <c r="O33" s="535"/>
      <c r="P33" s="535"/>
      <c r="Q33" s="535"/>
      <c r="R33" s="535"/>
      <c r="S33" s="535"/>
      <c r="T33" s="535"/>
      <c r="U33" s="535"/>
      <c r="V33" s="535"/>
      <c r="W33" s="535"/>
      <c r="X33" s="535"/>
    </row>
    <row r="34" spans="1:24" x14ac:dyDescent="0.25">
      <c r="A34" s="535"/>
      <c r="B34" s="934"/>
      <c r="C34" s="535"/>
      <c r="D34" s="535"/>
      <c r="E34" s="535"/>
      <c r="F34" s="535"/>
      <c r="G34" s="535"/>
      <c r="H34" s="535"/>
      <c r="I34" s="535"/>
      <c r="J34" s="535"/>
      <c r="K34" s="535"/>
      <c r="L34" s="535"/>
      <c r="M34" s="535"/>
      <c r="N34" s="535"/>
      <c r="O34" s="535"/>
      <c r="P34" s="535"/>
      <c r="Q34" s="535"/>
      <c r="R34" s="535"/>
      <c r="S34" s="535"/>
      <c r="T34" s="535"/>
      <c r="U34" s="535"/>
      <c r="V34" s="535"/>
      <c r="W34" s="535"/>
      <c r="X34" s="535"/>
    </row>
    <row r="35" spans="1:24" x14ac:dyDescent="0.25">
      <c r="A35" s="535"/>
      <c r="B35" s="535"/>
      <c r="C35" s="535"/>
      <c r="D35" s="535"/>
      <c r="E35" s="535"/>
      <c r="F35" s="535"/>
      <c r="G35" s="535"/>
      <c r="H35" s="535"/>
      <c r="I35" s="535"/>
      <c r="J35" s="535"/>
      <c r="K35" s="535"/>
      <c r="L35" s="535"/>
      <c r="M35" s="535"/>
      <c r="N35" s="535"/>
      <c r="O35" s="535"/>
      <c r="P35" s="535"/>
      <c r="Q35" s="535"/>
      <c r="R35" s="535"/>
      <c r="S35" s="535"/>
      <c r="T35" s="535"/>
      <c r="U35" s="535"/>
      <c r="V35" s="535"/>
      <c r="W35" s="535"/>
      <c r="X35" s="535"/>
    </row>
  </sheetData>
  <sheetProtection algorithmName="SHA-512" hashValue="LAYjAdaGCJzYLeOIBNZMyuVaMMhUWQVPBZdGbVUa9V9OVooMu5IwLUb3JBQSIRBkRwbWSsmJr7t6ceMWnTO6vw==" saltValue="F6zlHF75uziYgriWQoZ2kA==" spinCount="100000" sheet="1" objects="1" scenarios="1"/>
  <mergeCells count="3">
    <mergeCell ref="I25:K25"/>
    <mergeCell ref="I15:J15"/>
    <mergeCell ref="I5:K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32</vt:i4>
      </vt:variant>
    </vt:vector>
  </HeadingPairs>
  <TitlesOfParts>
    <vt:vector size="45" baseType="lpstr">
      <vt:lpstr>Instructions</vt:lpstr>
      <vt:lpstr>eTool Data</vt:lpstr>
      <vt:lpstr>Pass Fail Status</vt:lpstr>
      <vt:lpstr>eTool Data Analysis</vt:lpstr>
      <vt:lpstr>Trial Deposits Analysis</vt:lpstr>
      <vt:lpstr>Attachment-RfR Commt Lttr</vt:lpstr>
      <vt:lpstr>Graphed Results Trial Deposits</vt:lpstr>
      <vt:lpstr>Trial Dep. Projections Sumry</vt:lpstr>
      <vt:lpstr>Year 11+ Risk Analysis</vt:lpstr>
      <vt:lpstr>DSC Analysis</vt:lpstr>
      <vt:lpstr>eTool Data Engine</vt:lpstr>
      <vt:lpstr>Trial Deposits Engine</vt:lpstr>
      <vt:lpstr>Extra Worksheet</vt:lpstr>
      <vt:lpstr>Additional_eTool_data</vt:lpstr>
      <vt:lpstr>Additional_eTool_vs._Trial_Dep_Anal</vt:lpstr>
      <vt:lpstr>Data_Entry__PROPERTY_INFORMATION</vt:lpstr>
      <vt:lpstr>e_Tool_data_RY_11__Violations</vt:lpstr>
      <vt:lpstr>'eTool Data Analysis'!eTool_data_Amort._Test_violations</vt:lpstr>
      <vt:lpstr>'Trial Deposits Analysis'!eTool_data_Amort._Test_violations</vt:lpstr>
      <vt:lpstr>'eTool Data Analysis'!eTool_data_Req.Min._Bal._violations__Yr_1_10</vt:lpstr>
      <vt:lpstr>'Trial Deposits Analysis'!eTool_data_Req.Min._Bal._violations__Yr_1_10</vt:lpstr>
      <vt:lpstr>'eTool Data Analysis'!eTool_data_Req.Min._Bal._violations__Yr_11</vt:lpstr>
      <vt:lpstr>Factor_input_structuring_results</vt:lpstr>
      <vt:lpstr>Graphs</vt:lpstr>
      <vt:lpstr>Minimums_Analysis</vt:lpstr>
      <vt:lpstr>'eTool Data Analysis'!MORTGAGE_TERMS___AMORTIZATION_TEST_PERCENTAGE</vt:lpstr>
      <vt:lpstr>'Attachment-RfR Commt Lttr'!Print_Area</vt:lpstr>
      <vt:lpstr>'eTool Data Analysis'!Print_Area</vt:lpstr>
      <vt:lpstr>'Graphed Results Trial Deposits'!Print_Area</vt:lpstr>
      <vt:lpstr>Instructions!Print_Area</vt:lpstr>
      <vt:lpstr>'Trial Dep. Projections Sumry'!Print_Area</vt:lpstr>
      <vt:lpstr>'Trial Deposits Analysis'!Print_Area</vt:lpstr>
      <vt:lpstr>'Trial Deposits Engine'!Print_Area</vt:lpstr>
      <vt:lpstr>'Trial Dep. Projections Sumry'!Print_Titles</vt:lpstr>
      <vt:lpstr>'Trial Deposits Engine'!Print_Titles</vt:lpstr>
      <vt:lpstr>'Trial Deposits Analysis'!Trail_dep_Req.Min._Bal._violations__Yr_11</vt:lpstr>
      <vt:lpstr>Trial_Dep_RMB_RY11_violations</vt:lpstr>
      <vt:lpstr>Uninflated_Needs_iinput</vt:lpstr>
      <vt:lpstr>'Trial Deposits Analysis'!User_lnput_Amort._Test_violations</vt:lpstr>
      <vt:lpstr>User_lnput_Amort._Test_violations</vt:lpstr>
      <vt:lpstr>'Trial Deposits Analysis'!User_Trial_Input_Req.Min._Bal._violations__Yr_1_10</vt:lpstr>
      <vt:lpstr>User_Trial_Input_Req.Min._Bal._violations__Yr_1_10</vt:lpstr>
      <vt:lpstr>YES_NO</vt:lpstr>
      <vt:lpstr>Yr_1_to_10_eTool_data_status</vt:lpstr>
      <vt:lpstr>Yr_11_eTool_data_status</vt:lpstr>
    </vt:vector>
  </TitlesOfParts>
  <Manager/>
  <Company>Housing and Urban Development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 Bell</dc:creator>
  <cp:keywords/>
  <dc:description/>
  <cp:lastModifiedBy>HUD User</cp:lastModifiedBy>
  <cp:revision/>
  <cp:lastPrinted>2017-12-04T21:19:05Z</cp:lastPrinted>
  <dcterms:created xsi:type="dcterms:W3CDTF">2016-02-24T21:15:14Z</dcterms:created>
  <dcterms:modified xsi:type="dcterms:W3CDTF">2017-12-15T17:24:32Z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