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Underwriting Tools\Forms\"/>
    </mc:Choice>
  </mc:AlternateContent>
  <bookViews>
    <workbookView xWindow="-240" yWindow="36" windowWidth="17520" windowHeight="11760"/>
  </bookViews>
  <sheets>
    <sheet name="223(a)(7) Project Analysis" sheetId="1" r:id="rId1"/>
  </sheets>
  <externalReferences>
    <externalReference r:id="rId2"/>
  </externalReferences>
  <definedNames>
    <definedName name="_Fill" hidden="1">#REF!</definedName>
    <definedName name="_fill2" hidden="1">#REF!</definedName>
    <definedName name="_fill3" hidden="1">#REF!</definedName>
    <definedName name="_Key1" hidden="1">#REF!</definedName>
    <definedName name="_Key12" hidden="1">#REF!</definedName>
    <definedName name="_Sort" hidden="1">#REF!</definedName>
    <definedName name="_Sort2" hidden="1">#REF!</definedName>
    <definedName name="com" comment="com is for comma, to help concatenate names">'[1]Comprehensive S&amp;U'!$AW$65</definedName>
    <definedName name="Dollar_ranges">#REF!</definedName>
    <definedName name="Line_92264A" comment="Used to allocate Sources and Uses to a project's 92264-A">'[1]Comprehensive S&amp;U'!$AL$102:$AL$139</definedName>
    <definedName name="Non_mortgageable_cost_category">'[1]Comprehensive S&amp;U'!$C$92:$C$109</definedName>
    <definedName name="Options">'[1]Comprehensive S&amp;U'!$U$39:$U$41</definedName>
    <definedName name="_xlnm.Print_Area" localSheetId="0">'223(a)(7) Project Analysis'!$A$1:$U$194</definedName>
    <definedName name="Project_Count_ranges">#REF!</definedName>
    <definedName name="Sources_Consolidation_Category">'[1]Comprehensive S&amp;U'!$BJ$39:$BJ$49</definedName>
    <definedName name="sp" comment="sp is a space used for concatenation">'[1]Comprehensive S&amp;U'!$AX$65</definedName>
    <definedName name="Unit_Count_ranges">#REF!</definedName>
    <definedName name="Uses_designation">#REF!</definedName>
    <definedName name="Z_CE330743_A161_43A1_BC0F_3D7991F3DC32_.wvu.PrintArea" localSheetId="0" hidden="1">'223(a)(7) Project Analysis'!$A$1:$U$194</definedName>
  </definedNames>
  <calcPr calcId="171027"/>
  <customWorkbookViews>
    <customWorkbookView name="John Bell - Personal View" guid="{CE330743-A161-43A1-BC0F-3D7991F3DC32}" mergeInterval="0" personalView="1" maximized="1" windowWidth="1064" windowHeight="575" activeSheetId="1"/>
  </customWorkbookViews>
</workbook>
</file>

<file path=xl/calcChain.xml><?xml version="1.0" encoding="utf-8"?>
<calcChain xmlns="http://schemas.openxmlformats.org/spreadsheetml/2006/main">
  <c r="S145" i="1" l="1"/>
  <c r="K192" i="1" l="1"/>
  <c r="Q191" i="1"/>
  <c r="K190" i="1"/>
  <c r="K189" i="1"/>
  <c r="K193" i="1" l="1"/>
  <c r="O179" i="1" l="1"/>
  <c r="G180" i="1"/>
  <c r="O180" i="1" s="1"/>
  <c r="H180" i="1"/>
  <c r="P180" i="1"/>
  <c r="G181" i="1"/>
  <c r="O181" i="1" s="1"/>
  <c r="H181" i="1"/>
  <c r="P181" i="1"/>
  <c r="O182" i="1"/>
  <c r="O183" i="1"/>
  <c r="H166" i="1"/>
  <c r="P166" i="1" s="1"/>
  <c r="H167" i="1"/>
  <c r="P167" i="1" s="1"/>
  <c r="H168" i="1"/>
  <c r="P168" i="1" s="1"/>
  <c r="S78" i="1"/>
  <c r="M64" i="1" l="1"/>
  <c r="P74" i="1"/>
  <c r="N78" i="1"/>
  <c r="S80" i="1" s="1"/>
  <c r="S194" i="1"/>
  <c r="T122" i="1" l="1"/>
  <c r="M114" i="1" l="1"/>
  <c r="M113" i="1"/>
  <c r="K106" i="1" l="1"/>
  <c r="K107" i="1" s="1"/>
  <c r="M96" i="1" l="1"/>
  <c r="P85" i="1"/>
  <c r="P87" i="1" s="1"/>
  <c r="M83" i="1" l="1"/>
  <c r="H82" i="1"/>
  <c r="I165" i="1" l="1"/>
  <c r="S165" i="1"/>
  <c r="P66" i="1"/>
  <c r="G59" i="1"/>
  <c r="N58" i="1"/>
  <c r="G58" i="1"/>
  <c r="N57" i="1"/>
  <c r="G57" i="1"/>
  <c r="P52" i="1"/>
  <c r="P50" i="1"/>
  <c r="P51" i="1"/>
  <c r="G48" i="1"/>
  <c r="K38" i="1"/>
  <c r="E38" i="1"/>
  <c r="K37" i="1"/>
  <c r="E37" i="1"/>
  <c r="K36" i="1"/>
  <c r="K134" i="1" s="1"/>
  <c r="K35" i="1"/>
  <c r="E35" i="1"/>
  <c r="K30" i="1"/>
  <c r="E30" i="1"/>
  <c r="K29" i="1"/>
  <c r="E29" i="1"/>
  <c r="K28" i="1"/>
  <c r="E28" i="1"/>
  <c r="K26" i="1"/>
  <c r="E26" i="1"/>
  <c r="K25" i="1"/>
  <c r="S135" i="1" s="1"/>
  <c r="E25" i="1"/>
  <c r="K24" i="1"/>
  <c r="S136" i="1" s="1"/>
  <c r="E24" i="1"/>
  <c r="K23" i="1"/>
  <c r="E23" i="1"/>
  <c r="K22" i="1"/>
  <c r="E22" i="1"/>
  <c r="E21" i="1"/>
  <c r="E20" i="1"/>
  <c r="S81" i="1" l="1"/>
  <c r="P79" i="1"/>
  <c r="P53" i="1"/>
  <c r="P12" i="1"/>
  <c r="P80" i="1" l="1"/>
  <c r="Q79" i="1"/>
  <c r="K78" i="1" l="1"/>
  <c r="K20" i="1" s="1"/>
  <c r="Q80" i="1"/>
  <c r="K79" i="1" l="1"/>
  <c r="K187" i="1" s="1"/>
  <c r="S133" i="1"/>
  <c r="L78" i="1"/>
  <c r="M78" i="1"/>
  <c r="K84" i="1"/>
  <c r="L79" i="1" l="1"/>
  <c r="M80" i="1"/>
  <c r="K188" i="1" s="1"/>
  <c r="K21" i="1"/>
  <c r="S137" i="1" s="1"/>
  <c r="M84" i="1"/>
  <c r="K43" i="1"/>
  <c r="S139" i="1" l="1"/>
  <c r="S140" i="1" s="1"/>
  <c r="K136" i="1"/>
  <c r="M92" i="1"/>
  <c r="M97" i="1" s="1"/>
  <c r="M112" i="1"/>
  <c r="P68" i="1"/>
  <c r="P65" i="1"/>
  <c r="M108" i="1"/>
  <c r="P118" i="1"/>
  <c r="H48" i="1"/>
  <c r="G126" i="1"/>
  <c r="G149" i="1" s="1"/>
  <c r="N125" i="1"/>
  <c r="N148" i="1" s="1"/>
  <c r="G125" i="1"/>
  <c r="G148" i="1" s="1"/>
  <c r="N124" i="1"/>
  <c r="N147" i="1" s="1"/>
  <c r="G124" i="1"/>
  <c r="G147" i="1" s="1"/>
  <c r="P91" i="1" l="1"/>
  <c r="M109" i="1"/>
  <c r="M110" i="1" s="1"/>
  <c r="S69" i="1"/>
  <c r="S71" i="1" s="1"/>
  <c r="S14" i="1" s="1"/>
  <c r="P14" i="1" s="1"/>
  <c r="H159" i="1" l="1"/>
  <c r="H161" i="1"/>
  <c r="H163" i="1"/>
  <c r="H160" i="1"/>
  <c r="H162" i="1"/>
  <c r="H164" i="1"/>
  <c r="M72" i="1"/>
  <c r="I163" i="1" l="1"/>
  <c r="H169" i="1"/>
  <c r="M115" i="1" s="1"/>
  <c r="P116" i="1" s="1"/>
  <c r="P119" i="1" s="1"/>
  <c r="S119" i="1" s="1"/>
  <c r="H179" i="1" s="1"/>
  <c r="I179" i="1" l="1"/>
  <c r="H183" i="1"/>
  <c r="I183" i="1" s="1"/>
  <c r="I180" i="1"/>
  <c r="I181" i="1"/>
  <c r="S120" i="1"/>
  <c r="M120" i="1"/>
  <c r="S16" i="1"/>
  <c r="T12" i="1" l="1"/>
  <c r="I155" i="1"/>
  <c r="I8" i="1"/>
  <c r="P8" i="1" s="1"/>
  <c r="P16" i="1"/>
  <c r="T16" i="1"/>
  <c r="T14" i="1"/>
  <c r="P179" i="1" l="1"/>
  <c r="M192" i="1"/>
  <c r="M190" i="1"/>
  <c r="M189" i="1"/>
  <c r="M187" i="1"/>
  <c r="M188" i="1"/>
  <c r="S179" i="1"/>
  <c r="P183" i="1"/>
  <c r="S183" i="1" s="1"/>
  <c r="S180" i="1"/>
  <c r="S181" i="1"/>
  <c r="P164" i="1"/>
  <c r="P159" i="1"/>
  <c r="P160" i="1"/>
  <c r="P161" i="1"/>
  <c r="P162" i="1"/>
  <c r="P163" i="1"/>
  <c r="O8" i="1"/>
  <c r="K34" i="1"/>
  <c r="K132" i="1" s="1"/>
  <c r="H49" i="1"/>
  <c r="H50" i="1" s="1"/>
  <c r="H52" i="1" s="1"/>
  <c r="P48" i="1" s="1"/>
  <c r="P36" i="1"/>
  <c r="K140" i="1" l="1"/>
  <c r="S155" i="1"/>
  <c r="M193" i="1"/>
  <c r="S163" i="1"/>
  <c r="K27" i="1" s="1"/>
  <c r="K31" i="1" s="1"/>
  <c r="K39" i="1"/>
  <c r="P169" i="1"/>
  <c r="P47" i="1" l="1"/>
  <c r="P49" i="1" s="1"/>
  <c r="K42" i="1"/>
  <c r="K143" i="1"/>
  <c r="K142" i="1" s="1"/>
  <c r="S143" i="1"/>
  <c r="S142" i="1" s="1"/>
  <c r="K44" i="1" l="1"/>
</calcChain>
</file>

<file path=xl/comments1.xml><?xml version="1.0" encoding="utf-8"?>
<comments xmlns="http://schemas.openxmlformats.org/spreadsheetml/2006/main">
  <authors>
    <author>h46460</author>
  </authors>
  <commentList>
    <comment ref="S10" authorId="0" shapeId="0">
      <text>
        <r>
          <rPr>
            <b/>
            <sz val="8"/>
            <color indexed="81"/>
            <rFont val="Tahoma"/>
            <family val="2"/>
          </rPr>
          <t>Requires manual input.
If the number input here is greater than or less than the minimum of the three figures below it, the font changes to red.</t>
        </r>
      </text>
    </comment>
  </commentList>
</comments>
</file>

<file path=xl/sharedStrings.xml><?xml version="1.0" encoding="utf-8"?>
<sst xmlns="http://schemas.openxmlformats.org/spreadsheetml/2006/main" count="279" uniqueCount="224">
  <si>
    <t>Term</t>
  </si>
  <si>
    <t>Total</t>
  </si>
  <si>
    <t>Legal &amp; org</t>
  </si>
  <si>
    <t>Discount</t>
  </si>
  <si>
    <t>Title Recording HUD</t>
  </si>
  <si>
    <t>Allowance extra</t>
  </si>
  <si>
    <t>Perm Placement fee</t>
  </si>
  <si>
    <t>Initial dep to reserve</t>
  </si>
  <si>
    <t>Financing Fee</t>
  </si>
  <si>
    <t>FHA exam</t>
  </si>
  <si>
    <t>FHA MIP</t>
  </si>
  <si>
    <t>Financing fees</t>
  </si>
  <si>
    <t>Fees</t>
  </si>
  <si>
    <t>I.</t>
  </si>
  <si>
    <t>1.</t>
  </si>
  <si>
    <t>Mortgage or Loan Amount Requested in Application</t>
  </si>
  <si>
    <t>2.</t>
  </si>
  <si>
    <t xml:space="preserve">a. </t>
  </si>
  <si>
    <t>X</t>
  </si>
  <si>
    <t>b.</t>
  </si>
  <si>
    <t>c.</t>
  </si>
  <si>
    <t>d.</t>
  </si>
  <si>
    <t>e.</t>
  </si>
  <si>
    <t>f.</t>
  </si>
  <si>
    <t>g.</t>
  </si>
  <si>
    <t>Amount Based on Debt Service Ratio</t>
  </si>
  <si>
    <t>Mortgage Interest Rate</t>
  </si>
  <si>
    <t>Mortgage Insurance Premium Rate</t>
  </si>
  <si>
    <t>Initial Curtail Rate</t>
  </si>
  <si>
    <t>Sum of Above Rates</t>
  </si>
  <si>
    <t>Net Income</t>
  </si>
  <si>
    <t>Annual Ground Rent</t>
  </si>
  <si>
    <t>Line e minus line f</t>
  </si>
  <si>
    <t>h.</t>
  </si>
  <si>
    <t>Line g divided by line d</t>
  </si>
  <si>
    <t>i.</t>
  </si>
  <si>
    <t>divided by</t>
  </si>
  <si>
    <t>j.</t>
  </si>
  <si>
    <t>Line h plus line I</t>
  </si>
  <si>
    <t>Other Fees</t>
  </si>
  <si>
    <t>Enter the Sum of any Grant/Loan and Reserves for Replacement and</t>
  </si>
  <si>
    <t>Total Existing Indebtedness</t>
  </si>
  <si>
    <t>Required Repairs</t>
  </si>
  <si>
    <t>Sum of line a through line d</t>
  </si>
  <si>
    <t>Major Movable Equipment on Deposit</t>
  </si>
  <si>
    <t xml:space="preserve"> First, list known costs:</t>
  </si>
  <si>
    <t>To Calc max mortgage based on cost, follow the steps below:</t>
  </si>
  <si>
    <t>Third, apply gross up factor based on unknowns</t>
  </si>
  <si>
    <t>Non critical repairs</t>
  </si>
  <si>
    <t>Critical repairs</t>
  </si>
  <si>
    <t>Original Principal Amount of Mortgage(s) to be refinanced</t>
  </si>
  <si>
    <t>Project #</t>
  </si>
  <si>
    <t>Name of Mortgagor</t>
  </si>
  <si>
    <t>Project Name</t>
  </si>
  <si>
    <t>Project City, ST</t>
  </si>
  <si>
    <t>Lender</t>
  </si>
  <si>
    <t>Annual Tax Abatement</t>
  </si>
  <si>
    <t>Purchased and Transferred Reserves</t>
  </si>
  <si>
    <t>II. Total Requirements for Settlement</t>
  </si>
  <si>
    <t>Non-critical repairs</t>
  </si>
  <si>
    <t xml:space="preserve">Financing Charges based on % above and certain "knowns" </t>
  </si>
  <si>
    <t>FHA Mortgage Amount</t>
  </si>
  <si>
    <t>Total of unknowns %s</t>
  </si>
  <si>
    <t>Note: net proceeds to pay borrower costs:</t>
  </si>
  <si>
    <t>Grants &amp; other sources to pay costs, e.g., debt</t>
  </si>
  <si>
    <t>Cash Requirement Calculation</t>
  </si>
  <si>
    <t>$ escrow</t>
  </si>
  <si>
    <t>% escrow</t>
  </si>
  <si>
    <t>a.</t>
  </si>
  <si>
    <t>Note: Repairs Escrow calculations</t>
  </si>
  <si>
    <t>Total Prepayment Costs to be paid</t>
  </si>
  <si>
    <t>Balance of Trade Profit to deposit into the Res. For Repl.</t>
  </si>
  <si>
    <t>Lowest Mortgage Amount of criteria</t>
  </si>
  <si>
    <t>Current Unpaid Principal Balance of Existing Debt</t>
  </si>
  <si>
    <t>This is a manual input usually equal to the lowest of the three amounts below:</t>
  </si>
  <si>
    <t>Note: Total knowns excluding payoff</t>
  </si>
  <si>
    <t>Maturity date</t>
  </si>
  <si>
    <t>FHA #</t>
  </si>
  <si>
    <t>123-45678</t>
  </si>
  <si>
    <t>Princ. Bal date</t>
  </si>
  <si>
    <t>New Mortgage</t>
  </si>
  <si>
    <t xml:space="preserve"> P&amp;I/mo.</t>
  </si>
  <si>
    <t>Original Princ. Balance</t>
  </si>
  <si>
    <t>Amort. start date</t>
  </si>
  <si>
    <t>Oak Tree Manor Apartments</t>
  </si>
  <si>
    <t>Springfield, MO</t>
  </si>
  <si>
    <t>FHA Capital Mortgage, Inc.</t>
  </si>
  <si>
    <t>Oak Tree Manor LP</t>
  </si>
  <si>
    <t>+ Annual Spec. Assmt.</t>
  </si>
  <si>
    <t>Calculated cost mortgage rounded down</t>
  </si>
  <si>
    <t>Interest Rate</t>
  </si>
  <si>
    <t xml:space="preserve">   Amount required to pay off existing debt</t>
  </si>
  <si>
    <t>Sources</t>
  </si>
  <si>
    <t>Difference vs. request</t>
  </si>
  <si>
    <t>**</t>
  </si>
  <si>
    <t>Int.Rate</t>
  </si>
  <si>
    <r>
      <t xml:space="preserve">    per </t>
    </r>
    <r>
      <rPr>
        <b/>
        <u/>
        <sz val="7.5"/>
        <rFont val="Arial"/>
        <family val="2"/>
      </rPr>
      <t>actual</t>
    </r>
    <r>
      <rPr>
        <b/>
        <sz val="7.5"/>
        <rFont val="Arial"/>
        <family val="2"/>
      </rPr>
      <t xml:space="preserve"> mortgage</t>
    </r>
  </si>
  <si>
    <t>Other permitted costs</t>
  </si>
  <si>
    <t>The figures below recategorize the figures above to show a traditional cost mortgage breakdown:</t>
  </si>
  <si>
    <t>Financing fees (excluding Title&amp;Rec., Leg&amp;Org.)*</t>
  </si>
  <si>
    <t>*** If a refi of a refi, describe original mortgage here:</t>
  </si>
  <si>
    <t>*</t>
  </si>
  <si>
    <t>Should be equal</t>
  </si>
  <si>
    <t>Legal &amp; organizational</t>
  </si>
  <si>
    <t>Uses - Mortgageable Amounts</t>
  </si>
  <si>
    <t xml:space="preserve">  (a). Total Mortgageable Uses of Cash</t>
  </si>
  <si>
    <t xml:space="preserve">  (b). Total Sources of Cash</t>
  </si>
  <si>
    <t>Trade Discount</t>
  </si>
  <si>
    <t xml:space="preserve">  (b). Sum of known amounts to offset costs</t>
  </si>
  <si>
    <t xml:space="preserve">  (c)=(a)-(b). Total known costs less known offset sources</t>
  </si>
  <si>
    <t>(d). 1 minus % sum above is the gross up factor</t>
  </si>
  <si>
    <t xml:space="preserve">V. </t>
  </si>
  <si>
    <t>Annual P&amp;I savings</t>
  </si>
  <si>
    <t>P&amp;I savings (monthly)</t>
  </si>
  <si>
    <t>Divided by Annual P&amp;I savings</t>
  </si>
  <si>
    <t>Equals Payback Period (in years)</t>
  </si>
  <si>
    <t>Interest Rate reduction:</t>
  </si>
  <si>
    <t>New 223(a)(7) interest rate:</t>
  </si>
  <si>
    <t>Old interest rate:</t>
  </si>
  <si>
    <t>Maturity extension (yrs.):</t>
  </si>
  <si>
    <t>(c)=(a)-(b). Mortgageable Uses of cash less Sources</t>
  </si>
  <si>
    <t>(d). Non-mortgageable: Assurance of Completion Escrow</t>
  </si>
  <si>
    <t>(e)=(c)+(d). Total Cash required</t>
  </si>
  <si>
    <t>Details of prepayment penalty and sources of payment</t>
  </si>
  <si>
    <t>Total prepayment pnlty to be paid from mortgage proceeds</t>
  </si>
  <si>
    <t>Total prepayment pnlty to be paid from Trade Profit</t>
  </si>
  <si>
    <t>Trade Profit Retained by the Lender</t>
  </si>
  <si>
    <t>Total Trade Profit</t>
  </si>
  <si>
    <t>$</t>
  </si>
  <si>
    <t>Trade Premium for prepmt costs,R4R</t>
  </si>
  <si>
    <t>HUD approved debt to refinance via the A7</t>
  </si>
  <si>
    <t>Prepmt pd via trade profit</t>
  </si>
  <si>
    <t>Total Prepayment Penalty Costs</t>
  </si>
  <si>
    <t>(calc'd %)</t>
  </si>
  <si>
    <t>Mortgage sizing</t>
  </si>
  <si>
    <t>Amount included for</t>
  </si>
  <si>
    <t>R4R pd via trade profit</t>
  </si>
  <si>
    <t>% of mtg amt (par)</t>
  </si>
  <si>
    <t>Details of Pricing of the mortgage or a mortgage security reflecting any Trade Profit to be used for permitted borrower costs</t>
  </si>
  <si>
    <t>Loan Closing Charges ** (see details below)</t>
  </si>
  <si>
    <t>Principal amount of the mortgage</t>
  </si>
  <si>
    <t>Escrow for Completion Assurance)</t>
  </si>
  <si>
    <t xml:space="preserve">VI. </t>
  </si>
  <si>
    <t xml:space="preserve">VII. </t>
  </si>
  <si>
    <t>III.</t>
  </si>
  <si>
    <t>Note: rounding down amount:</t>
  </si>
  <si>
    <r>
      <t xml:space="preserve">Line e minus line f </t>
    </r>
    <r>
      <rPr>
        <i/>
        <sz val="10"/>
        <color theme="1"/>
        <rFont val="Calibri"/>
        <family val="2"/>
        <scheme val="minor"/>
      </rPr>
      <t>(rounded down)</t>
    </r>
  </si>
  <si>
    <t>% of new actual mtg. amt.</t>
  </si>
  <si>
    <t>&lt;-Mnthly P&amp;I=</t>
  </si>
  <si>
    <t>Enter % here:</t>
  </si>
  <si>
    <t>or total $ here:</t>
  </si>
  <si>
    <t>*Amounts included must reflect the applicant’s expectations of costs, so that any anticipated change in costs, such as a policy-directed refund of fees, are taken into account.</t>
  </si>
  <si>
    <t>Amount Based on Existing Indebtedness, Repairs, and Loan Closing Charges*</t>
  </si>
  <si>
    <t xml:space="preserve"> List known non FHA-loan sources that offset costs:</t>
  </si>
  <si>
    <t>Section 223(a)(7) - Project Analysis - Mortgage Sizing and Sources and Uses Worksheet</t>
  </si>
  <si>
    <t>Section 223a7 Mortgage Sizing and Sources and Uses worksheet 9-22-15.xlsx</t>
  </si>
  <si>
    <t>9/1/2015</t>
  </si>
  <si>
    <t>Amort. Start date</t>
  </si>
  <si>
    <t>Maturity-yrs.</t>
  </si>
  <si>
    <t>Month of refi</t>
  </si>
  <si>
    <t>Year of refi (truncated)</t>
  </si>
  <si>
    <t>Calc'd amort.</t>
  </si>
  <si>
    <t>Calc'd bal.</t>
  </si>
  <si>
    <t>(a). Total known/fixed costs before other costs</t>
  </si>
  <si>
    <t>Initial deposit to Reserve for Replacements</t>
  </si>
  <si>
    <t>Title &amp; Recording</t>
  </si>
  <si>
    <t>Refi'd Debt***</t>
  </si>
  <si>
    <t>@ term assumed (mos.)</t>
  </si>
  <si>
    <t>5.</t>
  </si>
  <si>
    <t>10.</t>
  </si>
  <si>
    <t>Payback* calculations &amp; change in interest rate and maturity date</t>
  </si>
  <si>
    <t>* Payback period is not a program requirement.</t>
  </si>
  <si>
    <t>Condensed summary of Sources and Uses</t>
  </si>
  <si>
    <t>prepayment penalty</t>
  </si>
  <si>
    <t>New Section 223(a)(7) mortgage</t>
  </si>
  <si>
    <t>LOC - Borrower funding of non-mortgageable</t>
  </si>
  <si>
    <t>Assurance of Completion escrow</t>
  </si>
  <si>
    <t>Uses (summary)</t>
  </si>
  <si>
    <t>Unpaid Principal Balance of existing</t>
  </si>
  <si>
    <t xml:space="preserve">             mortgage</t>
  </si>
  <si>
    <t>Initial deposit to Reserve for</t>
  </si>
  <si>
    <t xml:space="preserve">             Replacements</t>
  </si>
  <si>
    <t>Prepayment Penalty (entire amount due)</t>
  </si>
  <si>
    <t>Assurance of completion escrow (non-</t>
  </si>
  <si>
    <t xml:space="preserve">             mortgageable)</t>
  </si>
  <si>
    <t xml:space="preserve">                 Subtotal of selected Sources</t>
  </si>
  <si>
    <t xml:space="preserve">   Subtotal of selected Sources</t>
  </si>
  <si>
    <t xml:space="preserve">      Total Sources</t>
  </si>
  <si>
    <t xml:space="preserve">                     Total Uses</t>
  </si>
  <si>
    <t>Transaction costs**</t>
  </si>
  <si>
    <t>** Includes incremental costs to third parties not incurred or incurrable under existing operation.</t>
  </si>
  <si>
    <t>Fin. Fees, pre-pmt</t>
  </si>
  <si>
    <t xml:space="preserve">penalties, T&amp;R, </t>
  </si>
  <si>
    <t xml:space="preserve"> and legal fees.</t>
  </si>
  <si>
    <t>Financing Charges based on fees shown as %s of the</t>
  </si>
  <si>
    <t xml:space="preserve"> mortgage amount listed in Section II, and certain "knowns" </t>
  </si>
  <si>
    <r>
      <t xml:space="preserve"> per </t>
    </r>
    <r>
      <rPr>
        <b/>
        <u/>
        <sz val="7.5"/>
        <rFont val="Arial"/>
        <family val="2"/>
      </rPr>
      <t>cost-based mortgage</t>
    </r>
    <r>
      <rPr>
        <b/>
        <sz val="7.5"/>
        <rFont val="Arial"/>
        <family val="2"/>
      </rPr>
      <t xml:space="preserve"> calc't'd. per Criterion 10. above.</t>
    </r>
  </si>
  <si>
    <t>Note that the actual mortgage  may be equal to the Cost Based Criterion Mortgage if this is the maximum permitted mortgage):</t>
  </si>
  <si>
    <t>Subtotal:</t>
  </si>
  <si>
    <r>
      <t xml:space="preserve">   All other Sources </t>
    </r>
    <r>
      <rPr>
        <sz val="9"/>
        <color theme="1"/>
        <rFont val="Calibri"/>
        <family val="2"/>
        <scheme val="minor"/>
      </rPr>
      <t>(includes transferred reserves,</t>
    </r>
  </si>
  <si>
    <r>
      <t xml:space="preserve">                 All other Uses </t>
    </r>
    <r>
      <rPr>
        <sz val="9"/>
        <color theme="1"/>
        <rFont val="Calibri"/>
        <family val="2"/>
        <scheme val="minor"/>
      </rPr>
      <t>(includes fin. fees &amp; costs,</t>
    </r>
  </si>
  <si>
    <t xml:space="preserve">                  other refi'd debt, repairs, discnts. &amp; misc.)</t>
  </si>
  <si>
    <t>Lender payment of all or a portion of</t>
  </si>
  <si>
    <t xml:space="preserve">       contributed cash &amp; LOCs, + other trade. prem.</t>
  </si>
  <si>
    <t>Tot prcds for borrower costs (excludes</t>
  </si>
  <si>
    <t>Trade Profit to pay prepmt pnlts + any R4R dep</t>
  </si>
  <si>
    <t>Rmng.Term-mos.</t>
  </si>
  <si>
    <t>Prepmt pd from loan proceeds (calc't'd):</t>
  </si>
  <si>
    <t>Tot borrower cost via trade prft</t>
  </si>
  <si>
    <t>Second, list unknowns, i.e., costs as %s of the final mortgage amount:</t>
  </si>
  <si>
    <t>(c)/(d). Calculated cost mortgage</t>
  </si>
  <si>
    <t>consistency chk vs. M108 (should be $0)</t>
  </si>
  <si>
    <t>Pricing before any lender-retained trade profit  based on fees as %s</t>
  </si>
  <si>
    <r>
      <t xml:space="preserve">    and certain "knowns" per </t>
    </r>
    <r>
      <rPr>
        <b/>
        <u/>
        <sz val="7.5"/>
        <rFont val="Arial"/>
        <family val="2"/>
      </rPr>
      <t>actual</t>
    </r>
    <r>
      <rPr>
        <b/>
        <sz val="7.5"/>
        <rFont val="Arial"/>
        <family val="2"/>
      </rPr>
      <t xml:space="preserve"> mortgage</t>
    </r>
  </si>
  <si>
    <t>Pricing before any lender-retained trade profit  based on fees as %s and</t>
  </si>
  <si>
    <r>
      <t xml:space="preserve">     certain "knowns"  per </t>
    </r>
    <r>
      <rPr>
        <b/>
        <u/>
        <sz val="7.5"/>
        <rFont val="Arial"/>
        <family val="2"/>
      </rPr>
      <t>cost-based mortgage</t>
    </r>
    <r>
      <rPr>
        <b/>
        <sz val="7.5"/>
        <rFont val="Arial"/>
        <family val="2"/>
      </rPr>
      <t xml:space="preserve"> calc't'd. in 10. above.</t>
    </r>
  </si>
  <si>
    <r>
      <t xml:space="preserve">Pricing based on a </t>
    </r>
    <r>
      <rPr>
        <b/>
        <u/>
        <sz val="11"/>
        <color theme="1"/>
        <rFont val="Calibri"/>
        <family val="2"/>
        <scheme val="minor"/>
      </rPr>
      <t>Criterion 10 mortgage</t>
    </r>
    <r>
      <rPr>
        <sz val="11"/>
        <color theme="1"/>
        <rFont val="Calibri"/>
        <family val="2"/>
        <scheme val="minor"/>
      </rPr>
      <t xml:space="preserve"> amount</t>
    </r>
  </si>
  <si>
    <r>
      <t xml:space="preserve">Pricing based on the </t>
    </r>
    <r>
      <rPr>
        <b/>
        <u/>
        <sz val="11"/>
        <color theme="1"/>
        <rFont val="Calibri"/>
        <family val="2"/>
        <scheme val="minor"/>
      </rPr>
      <t>actual mortgage</t>
    </r>
    <r>
      <rPr>
        <sz val="11"/>
        <color theme="1"/>
        <rFont val="Calibri"/>
        <family val="2"/>
        <scheme val="minor"/>
      </rPr>
      <t xml:space="preserve"> amount</t>
    </r>
  </si>
  <si>
    <t>Financing Charge details for Cost Based Criterion 10. mortgage and  the Actual mortgage</t>
  </si>
  <si>
    <r>
      <t xml:space="preserve">Fees for the </t>
    </r>
    <r>
      <rPr>
        <b/>
        <u/>
        <sz val="11"/>
        <color theme="1"/>
        <rFont val="Calibri"/>
        <family val="2"/>
        <scheme val="minor"/>
      </rPr>
      <t>Criterion 10 mortgage</t>
    </r>
    <r>
      <rPr>
        <sz val="11"/>
        <color theme="1"/>
        <rFont val="Calibri"/>
        <family val="2"/>
        <scheme val="minor"/>
      </rPr>
      <t xml:space="preserve"> of</t>
    </r>
  </si>
  <si>
    <r>
      <t xml:space="preserve">Fees based on the </t>
    </r>
    <r>
      <rPr>
        <b/>
        <u/>
        <sz val="11"/>
        <color theme="1"/>
        <rFont val="Calibri"/>
        <family val="2"/>
        <scheme val="minor"/>
      </rPr>
      <t>actual mortgage amount of</t>
    </r>
  </si>
  <si>
    <t>To complete the worksheet, fill in only the blue cells.</t>
  </si>
  <si>
    <t>Criterion 5. Amount Based on Debt Service Ratio (see calculation 5. details below)</t>
  </si>
  <si>
    <t>Criterion 10. Amount Based on the cost of refinancing (see calculation 10. details below)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</si>
</sst>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&quot;$&quot;#,##0"/>
    <numFmt numFmtId="167" formatCode="0.00_)"/>
    <numFmt numFmtId="168" formatCode="0.000000%"/>
    <numFmt numFmtId="169" formatCode="&quot;$&quot;#,##0.00"/>
    <numFmt numFmtId="170" formatCode="0.000%"/>
    <numFmt numFmtId="171" formatCode="0.0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2"/>
    </font>
    <font>
      <vertAlign val="superscript"/>
      <sz val="12"/>
      <color indexed="8"/>
      <name val="Times New Roman"/>
      <family val="1"/>
    </font>
    <font>
      <sz val="8"/>
      <name val="Arial"/>
      <family val="2"/>
    </font>
    <font>
      <strike/>
      <sz val="12"/>
      <color indexed="8"/>
      <name val="Times New Roman"/>
      <family val="1"/>
    </font>
    <font>
      <b/>
      <i/>
      <sz val="16"/>
      <name val="Helv"/>
    </font>
    <font>
      <sz val="9"/>
      <name val="Arial MT"/>
    </font>
    <font>
      <sz val="12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8"/>
      <name val="MS Sans Serif"/>
      <family val="2"/>
    </font>
    <font>
      <sz val="8"/>
      <name val="MS Sans Serif"/>
      <family val="2"/>
    </font>
    <font>
      <b/>
      <sz val="12"/>
      <color indexed="10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10"/>
      <color theme="1"/>
      <name val="Calibri"/>
      <family val="2"/>
      <scheme val="minor"/>
    </font>
    <font>
      <sz val="11"/>
      <color rgb="FF66CCFF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6"/>
      <name val="Arial"/>
      <family val="2"/>
    </font>
    <font>
      <sz val="9"/>
      <name val="Arial"/>
      <family val="2"/>
    </font>
    <font>
      <b/>
      <u/>
      <sz val="7.5"/>
      <name val="Arial"/>
      <family val="2"/>
    </font>
    <font>
      <sz val="8"/>
      <color theme="0" tint="-0.499984740745262"/>
      <name val="Calibri"/>
      <family val="2"/>
      <scheme val="minor"/>
    </font>
    <font>
      <b/>
      <sz val="11"/>
      <name val="Calibri"/>
      <family val="2"/>
      <scheme val="minor"/>
    </font>
    <font>
      <u/>
      <sz val="7.5"/>
      <name val="Arial"/>
      <family val="2"/>
    </font>
    <font>
      <u/>
      <sz val="8"/>
      <name val="Arial"/>
      <family val="2"/>
    </font>
    <font>
      <i/>
      <sz val="8"/>
      <name val="Arial"/>
      <family val="2"/>
    </font>
    <font>
      <u/>
      <sz val="8"/>
      <name val="Calibri"/>
      <family val="2"/>
      <scheme val="minor"/>
    </font>
    <font>
      <b/>
      <sz val="8"/>
      <color indexed="81"/>
      <name val="Tahoma"/>
      <family val="2"/>
    </font>
    <font>
      <sz val="7"/>
      <name val="Arial"/>
      <family val="2"/>
    </font>
    <font>
      <u val="doubleAccounting"/>
      <sz val="11"/>
      <name val="Calibri"/>
      <family val="2"/>
      <scheme val="minor"/>
    </font>
    <font>
      <u val="singleAccounting"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8" applyBorder="0" applyProtection="0">
      <alignment horizontal="left"/>
    </xf>
    <xf numFmtId="38" fontId="16" fillId="3" borderId="0" applyNumberFormat="0" applyBorder="0" applyAlignment="0" applyProtection="0"/>
    <xf numFmtId="10" fontId="16" fillId="4" borderId="5" applyNumberFormat="0" applyBorder="0" applyAlignment="0" applyProtection="0"/>
    <xf numFmtId="0" fontId="17" fillId="0" borderId="5">
      <alignment horizontal="center"/>
    </xf>
    <xf numFmtId="167" fontId="18" fillId="0" borderId="0"/>
    <xf numFmtId="0" fontId="19" fillId="0" borderId="0"/>
    <xf numFmtId="0" fontId="20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10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4" fontId="21" fillId="0" borderId="0" applyFont="0" applyFill="0" applyBorder="0" applyAlignment="0" applyProtection="0"/>
    <xf numFmtId="0" fontId="22" fillId="0" borderId="6">
      <alignment horizontal="center"/>
    </xf>
    <xf numFmtId="0" fontId="22" fillId="0" borderId="9" applyNumberFormat="0" applyFill="0"/>
    <xf numFmtId="0" fontId="23" fillId="0" borderId="0" applyNumberFormat="0" applyFill="0" applyBorder="0" applyAlignment="0" applyProtection="0"/>
    <xf numFmtId="0" fontId="24" fillId="0" borderId="10" applyNumberFormat="0" applyFill="0" applyBorder="0"/>
    <xf numFmtId="0" fontId="25" fillId="1" borderId="5" applyNumberFormat="0">
      <alignment horizontal="center"/>
    </xf>
  </cellStyleXfs>
  <cellXfs count="340">
    <xf numFmtId="0" fontId="0" fillId="0" borderId="0" xfId="0"/>
    <xf numFmtId="10" fontId="0" fillId="0" borderId="2" xfId="3" applyNumberFormat="1" applyFont="1" applyBorder="1"/>
    <xf numFmtId="164" fontId="0" fillId="0" borderId="0" xfId="2" applyNumberFormat="1" applyFont="1" applyBorder="1"/>
    <xf numFmtId="0" fontId="0" fillId="5" borderId="13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3" xfId="0" applyFill="1" applyBorder="1"/>
    <xf numFmtId="0" fontId="0" fillId="5" borderId="14" xfId="0" applyFill="1" applyBorder="1"/>
    <xf numFmtId="0" fontId="0" fillId="6" borderId="13" xfId="0" applyFill="1" applyBorder="1"/>
    <xf numFmtId="0" fontId="2" fillId="6" borderId="0" xfId="0" applyFont="1" applyFill="1" applyBorder="1"/>
    <xf numFmtId="0" fontId="0" fillId="6" borderId="0" xfId="0" applyFill="1" applyBorder="1"/>
    <xf numFmtId="0" fontId="0" fillId="6" borderId="14" xfId="0" applyFill="1" applyBorder="1"/>
    <xf numFmtId="0" fontId="2" fillId="6" borderId="13" xfId="0" applyFont="1" applyFill="1" applyBorder="1"/>
    <xf numFmtId="0" fontId="16" fillId="6" borderId="12" xfId="0" applyNumberFormat="1" applyFont="1" applyFill="1" applyBorder="1" applyProtection="1">
      <protection locked="0"/>
    </xf>
    <xf numFmtId="0" fontId="16" fillId="6" borderId="3" xfId="0" applyNumberFormat="1" applyFont="1" applyFill="1" applyBorder="1" applyProtection="1">
      <protection locked="0"/>
    </xf>
    <xf numFmtId="0" fontId="26" fillId="6" borderId="15" xfId="0" applyNumberFormat="1" applyFont="1" applyFill="1" applyBorder="1" applyProtection="1">
      <protection locked="0"/>
    </xf>
    <xf numFmtId="0" fontId="27" fillId="6" borderId="15" xfId="0" applyNumberFormat="1" applyFont="1" applyFill="1" applyBorder="1" applyProtection="1">
      <protection locked="0"/>
    </xf>
    <xf numFmtId="0" fontId="28" fillId="6" borderId="15" xfId="0" applyNumberFormat="1" applyFont="1" applyFill="1" applyBorder="1" applyProtection="1">
      <protection locked="0"/>
    </xf>
    <xf numFmtId="0" fontId="27" fillId="6" borderId="15" xfId="0" applyNumberFormat="1" applyFont="1" applyFill="1" applyBorder="1" applyAlignment="1" applyProtection="1">
      <protection locked="0"/>
    </xf>
    <xf numFmtId="42" fontId="27" fillId="6" borderId="15" xfId="0" applyNumberFormat="1" applyFont="1" applyFill="1" applyBorder="1" applyAlignment="1" applyProtection="1">
      <protection locked="0"/>
    </xf>
    <xf numFmtId="42" fontId="27" fillId="6" borderId="0" xfId="0" applyNumberFormat="1" applyFont="1" applyFill="1" applyBorder="1" applyAlignment="1" applyProtection="1">
      <protection locked="0"/>
    </xf>
    <xf numFmtId="42" fontId="27" fillId="6" borderId="0" xfId="0" applyNumberFormat="1" applyFont="1" applyFill="1" applyBorder="1" applyAlignment="1" applyProtection="1">
      <alignment horizontal="center"/>
      <protection locked="0"/>
    </xf>
    <xf numFmtId="0" fontId="28" fillId="6" borderId="16" xfId="0" applyNumberFormat="1" applyFont="1" applyFill="1" applyBorder="1" applyProtection="1">
      <protection locked="0"/>
    </xf>
    <xf numFmtId="0" fontId="16" fillId="6" borderId="2" xfId="0" applyNumberFormat="1" applyFont="1" applyFill="1" applyBorder="1" applyProtection="1">
      <protection locked="0"/>
    </xf>
    <xf numFmtId="0" fontId="16" fillId="6" borderId="0" xfId="0" applyNumberFormat="1" applyFont="1" applyFill="1" applyBorder="1" applyProtection="1">
      <protection locked="0"/>
    </xf>
    <xf numFmtId="0" fontId="26" fillId="6" borderId="3" xfId="0" applyNumberFormat="1" applyFont="1" applyFill="1" applyBorder="1" applyAlignment="1" applyProtection="1">
      <protection locked="0"/>
    </xf>
    <xf numFmtId="0" fontId="16" fillId="6" borderId="17" xfId="0" applyNumberFormat="1" applyFont="1" applyFill="1" applyBorder="1" applyProtection="1">
      <protection locked="0"/>
    </xf>
    <xf numFmtId="0" fontId="26" fillId="6" borderId="14" xfId="0" applyNumberFormat="1" applyFont="1" applyFill="1" applyBorder="1" applyAlignment="1" applyProtection="1">
      <protection locked="0"/>
    </xf>
    <xf numFmtId="0" fontId="28" fillId="6" borderId="0" xfId="0" quotePrefix="1" applyNumberFormat="1" applyFont="1" applyFill="1" applyBorder="1" applyProtection="1">
      <protection locked="0"/>
    </xf>
    <xf numFmtId="0" fontId="27" fillId="6" borderId="0" xfId="0" applyNumberFormat="1" applyFont="1" applyFill="1" applyBorder="1" applyProtection="1">
      <protection locked="0"/>
    </xf>
    <xf numFmtId="0" fontId="28" fillId="6" borderId="0" xfId="0" applyNumberFormat="1" applyFont="1" applyFill="1" applyBorder="1" applyProtection="1">
      <protection locked="0"/>
    </xf>
    <xf numFmtId="0" fontId="28" fillId="6" borderId="17" xfId="0" applyNumberFormat="1" applyFont="1" applyFill="1" applyBorder="1" applyProtection="1">
      <protection locked="0"/>
    </xf>
    <xf numFmtId="0" fontId="28" fillId="6" borderId="17" xfId="0" applyNumberFormat="1" applyFont="1" applyFill="1" applyBorder="1" applyAlignment="1" applyProtection="1">
      <protection locked="0"/>
    </xf>
    <xf numFmtId="0" fontId="26" fillId="6" borderId="17" xfId="0" applyNumberFormat="1" applyFont="1" applyFill="1" applyBorder="1" applyProtection="1">
      <protection locked="0"/>
    </xf>
    <xf numFmtId="0" fontId="28" fillId="6" borderId="18" xfId="0" applyNumberFormat="1" applyFont="1" applyFill="1" applyBorder="1" applyProtection="1">
      <protection locked="0"/>
    </xf>
    <xf numFmtId="0" fontId="16" fillId="6" borderId="18" xfId="0" applyNumberFormat="1" applyFont="1" applyFill="1" applyBorder="1" applyProtection="1">
      <protection locked="0"/>
    </xf>
    <xf numFmtId="0" fontId="28" fillId="6" borderId="10" xfId="0" applyNumberFormat="1" applyFont="1" applyFill="1" applyBorder="1" applyProtection="1">
      <protection locked="0"/>
    </xf>
    <xf numFmtId="0" fontId="16" fillId="6" borderId="10" xfId="0" applyNumberFormat="1" applyFont="1" applyFill="1" applyBorder="1" applyProtection="1">
      <protection locked="0"/>
    </xf>
    <xf numFmtId="0" fontId="16" fillId="6" borderId="14" xfId="0" applyNumberFormat="1" applyFont="1" applyFill="1" applyBorder="1" applyProtection="1">
      <protection locked="0"/>
    </xf>
    <xf numFmtId="0" fontId="27" fillId="6" borderId="12" xfId="0" applyNumberFormat="1" applyFont="1" applyFill="1" applyBorder="1" applyProtection="1">
      <protection locked="0"/>
    </xf>
    <xf numFmtId="0" fontId="28" fillId="6" borderId="12" xfId="0" applyNumberFormat="1" applyFont="1" applyFill="1" applyBorder="1" applyProtection="1">
      <protection locked="0"/>
    </xf>
    <xf numFmtId="0" fontId="28" fillId="6" borderId="10" xfId="0" applyNumberFormat="1" applyFont="1" applyFill="1" applyBorder="1" applyAlignment="1" applyProtection="1">
      <protection locked="0"/>
    </xf>
    <xf numFmtId="0" fontId="28" fillId="6" borderId="0" xfId="0" applyNumberFormat="1" applyFont="1" applyFill="1" applyBorder="1" applyAlignment="1" applyProtection="1">
      <protection locked="0"/>
    </xf>
    <xf numFmtId="0" fontId="28" fillId="6" borderId="17" xfId="0" quotePrefix="1" applyNumberFormat="1" applyFont="1" applyFill="1" applyBorder="1" applyAlignment="1" applyProtection="1">
      <alignment horizontal="right"/>
      <protection locked="0"/>
    </xf>
    <xf numFmtId="166" fontId="16" fillId="6" borderId="17" xfId="0" applyNumberFormat="1" applyFont="1" applyFill="1" applyBorder="1" applyAlignment="1" applyProtection="1">
      <protection locked="0"/>
    </xf>
    <xf numFmtId="0" fontId="28" fillId="6" borderId="0" xfId="0" quotePrefix="1" applyNumberFormat="1" applyFont="1" applyFill="1" applyBorder="1" applyAlignment="1" applyProtection="1">
      <protection locked="0"/>
    </xf>
    <xf numFmtId="0" fontId="28" fillId="6" borderId="14" xfId="0" quotePrefix="1" applyNumberFormat="1" applyFont="1" applyFill="1" applyBorder="1" applyAlignment="1" applyProtection="1">
      <protection locked="0"/>
    </xf>
    <xf numFmtId="0" fontId="16" fillId="6" borderId="17" xfId="0" applyNumberFormat="1" applyFont="1" applyFill="1" applyBorder="1" applyAlignment="1" applyProtection="1">
      <protection locked="0"/>
    </xf>
    <xf numFmtId="0" fontId="0" fillId="6" borderId="17" xfId="0" applyFill="1" applyBorder="1"/>
    <xf numFmtId="0" fontId="0" fillId="6" borderId="19" xfId="0" applyFill="1" applyBorder="1"/>
    <xf numFmtId="0" fontId="0" fillId="6" borderId="15" xfId="0" applyFill="1" applyBorder="1"/>
    <xf numFmtId="0" fontId="0" fillId="6" borderId="16" xfId="0" applyFill="1" applyBorder="1"/>
    <xf numFmtId="0" fontId="0" fillId="5" borderId="19" xfId="0" applyFill="1" applyBorder="1"/>
    <xf numFmtId="0" fontId="0" fillId="5" borderId="15" xfId="0" applyFill="1" applyBorder="1"/>
    <xf numFmtId="0" fontId="28" fillId="5" borderId="15" xfId="0" applyNumberFormat="1" applyFont="1" applyFill="1" applyBorder="1" applyProtection="1">
      <protection locked="0"/>
    </xf>
    <xf numFmtId="0" fontId="0" fillId="5" borderId="16" xfId="0" applyFill="1" applyBorder="1"/>
    <xf numFmtId="0" fontId="0" fillId="6" borderId="2" xfId="0" applyFill="1" applyBorder="1"/>
    <xf numFmtId="0" fontId="0" fillId="6" borderId="18" xfId="0" applyFill="1" applyBorder="1"/>
    <xf numFmtId="164" fontId="0" fillId="6" borderId="0" xfId="2" applyNumberFormat="1" applyFont="1" applyFill="1" applyBorder="1"/>
    <xf numFmtId="164" fontId="0" fillId="6" borderId="1" xfId="2" applyNumberFormat="1" applyFont="1" applyFill="1" applyBorder="1"/>
    <xf numFmtId="0" fontId="0" fillId="6" borderId="12" xfId="0" applyFont="1" applyFill="1" applyBorder="1"/>
    <xf numFmtId="0" fontId="0" fillId="6" borderId="3" xfId="0" applyFont="1" applyFill="1" applyBorder="1"/>
    <xf numFmtId="0" fontId="0" fillId="6" borderId="0" xfId="0" applyFont="1" applyFill="1" applyBorder="1"/>
    <xf numFmtId="0" fontId="0" fillId="6" borderId="14" xfId="0" applyFont="1" applyFill="1" applyBorder="1"/>
    <xf numFmtId="0" fontId="2" fillId="6" borderId="20" xfId="0" applyFont="1" applyFill="1" applyBorder="1"/>
    <xf numFmtId="0" fontId="0" fillId="6" borderId="7" xfId="0" applyFont="1" applyFill="1" applyBorder="1"/>
    <xf numFmtId="0" fontId="0" fillId="6" borderId="21" xfId="0" applyFont="1" applyFill="1" applyBorder="1"/>
    <xf numFmtId="0" fontId="0" fillId="6" borderId="19" xfId="0" applyFont="1" applyFill="1" applyBorder="1"/>
    <xf numFmtId="0" fontId="0" fillId="6" borderId="15" xfId="0" applyFont="1" applyFill="1" applyBorder="1"/>
    <xf numFmtId="0" fontId="0" fillId="0" borderId="0" xfId="0" applyFont="1" applyBorder="1"/>
    <xf numFmtId="0" fontId="0" fillId="6" borderId="2" xfId="0" applyFont="1" applyFill="1" applyBorder="1"/>
    <xf numFmtId="166" fontId="0" fillId="6" borderId="0" xfId="0" applyNumberFormat="1" applyFill="1" applyBorder="1"/>
    <xf numFmtId="166" fontId="0" fillId="6" borderId="0" xfId="0" applyNumberFormat="1" applyFont="1" applyFill="1" applyBorder="1"/>
    <xf numFmtId="0" fontId="0" fillId="6" borderId="6" xfId="0" applyFill="1" applyBorder="1"/>
    <xf numFmtId="0" fontId="0" fillId="6" borderId="24" xfId="0" applyFill="1" applyBorder="1"/>
    <xf numFmtId="166" fontId="0" fillId="6" borderId="7" xfId="0" applyNumberFormat="1" applyFont="1" applyFill="1" applyBorder="1"/>
    <xf numFmtId="0" fontId="0" fillId="6" borderId="16" xfId="0" applyFont="1" applyFill="1" applyBorder="1"/>
    <xf numFmtId="0" fontId="0" fillId="6" borderId="17" xfId="0" applyFont="1" applyFill="1" applyBorder="1"/>
    <xf numFmtId="0" fontId="30" fillId="5" borderId="13" xfId="0" applyFont="1" applyFill="1" applyBorder="1"/>
    <xf numFmtId="0" fontId="30" fillId="5" borderId="0" xfId="0" applyFont="1" applyFill="1" applyBorder="1"/>
    <xf numFmtId="0" fontId="30" fillId="5" borderId="14" xfId="0" applyFont="1" applyFill="1" applyBorder="1"/>
    <xf numFmtId="0" fontId="31" fillId="5" borderId="0" xfId="0" applyFont="1" applyFill="1" applyBorder="1" applyAlignment="1">
      <alignment horizontal="right"/>
    </xf>
    <xf numFmtId="0" fontId="31" fillId="5" borderId="0" xfId="0" applyFont="1" applyFill="1" applyBorder="1"/>
    <xf numFmtId="166" fontId="31" fillId="5" borderId="0" xfId="0" applyNumberFormat="1" applyFont="1" applyFill="1" applyBorder="1"/>
    <xf numFmtId="0" fontId="0" fillId="0" borderId="0" xfId="0" applyFont="1"/>
    <xf numFmtId="164" fontId="1" fillId="2" borderId="5" xfId="2" applyNumberFormat="1" applyFont="1" applyFill="1" applyBorder="1"/>
    <xf numFmtId="10" fontId="12" fillId="2" borderId="5" xfId="3" applyNumberFormat="1" applyFont="1" applyFill="1" applyBorder="1"/>
    <xf numFmtId="164" fontId="10" fillId="6" borderId="0" xfId="2" applyNumberFormat="1" applyFont="1" applyFill="1" applyBorder="1"/>
    <xf numFmtId="10" fontId="0" fillId="6" borderId="2" xfId="3" applyNumberFormat="1" applyFont="1" applyFill="1" applyBorder="1"/>
    <xf numFmtId="0" fontId="0" fillId="5" borderId="14" xfId="0" applyFill="1" applyBorder="1" applyAlignment="1">
      <alignment horizontal="center"/>
    </xf>
    <xf numFmtId="0" fontId="28" fillId="6" borderId="14" xfId="0" applyNumberFormat="1" applyFont="1" applyFill="1" applyBorder="1" applyProtection="1">
      <protection locked="0"/>
    </xf>
    <xf numFmtId="42" fontId="27" fillId="6" borderId="15" xfId="0" applyNumberFormat="1" applyFont="1" applyFill="1" applyBorder="1" applyAlignment="1" applyProtection="1">
      <alignment horizontal="center"/>
      <protection locked="0"/>
    </xf>
    <xf numFmtId="0" fontId="16" fillId="6" borderId="15" xfId="0" applyNumberFormat="1" applyFont="1" applyFill="1" applyBorder="1" applyProtection="1">
      <protection locked="0"/>
    </xf>
    <xf numFmtId="0" fontId="26" fillId="6" borderId="0" xfId="0" applyNumberFormat="1" applyFont="1" applyFill="1" applyBorder="1" applyProtection="1">
      <protection locked="0"/>
    </xf>
    <xf numFmtId="0" fontId="10" fillId="6" borderId="0" xfId="0" applyFont="1" applyFill="1" applyBorder="1" applyAlignment="1">
      <alignment horizontal="right"/>
    </xf>
    <xf numFmtId="0" fontId="27" fillId="6" borderId="0" xfId="0" applyNumberFormat="1" applyFont="1" applyFill="1" applyBorder="1" applyAlignment="1" applyProtection="1">
      <protection locked="0"/>
    </xf>
    <xf numFmtId="0" fontId="26" fillId="6" borderId="12" xfId="0" applyNumberFormat="1" applyFont="1" applyFill="1" applyBorder="1" applyProtection="1">
      <protection locked="0"/>
    </xf>
    <xf numFmtId="0" fontId="0" fillId="0" borderId="12" xfId="0" applyFont="1" applyBorder="1"/>
    <xf numFmtId="0" fontId="10" fillId="6" borderId="12" xfId="0" applyFont="1" applyFill="1" applyBorder="1" applyAlignment="1">
      <alignment horizontal="right"/>
    </xf>
    <xf numFmtId="164" fontId="1" fillId="6" borderId="0" xfId="2" applyNumberFormat="1" applyFont="1" applyFill="1" applyBorder="1"/>
    <xf numFmtId="0" fontId="12" fillId="6" borderId="0" xfId="0" applyNumberFormat="1" applyFont="1" applyFill="1" applyBorder="1" applyProtection="1">
      <protection locked="0"/>
    </xf>
    <xf numFmtId="0" fontId="12" fillId="6" borderId="0" xfId="0" quotePrefix="1" applyNumberFormat="1" applyFont="1" applyFill="1" applyBorder="1" applyAlignment="1" applyProtection="1">
      <protection locked="0"/>
    </xf>
    <xf numFmtId="0" fontId="12" fillId="6" borderId="18" xfId="0" applyNumberFormat="1" applyFont="1" applyFill="1" applyBorder="1" applyAlignment="1" applyProtection="1">
      <protection locked="0"/>
    </xf>
    <xf numFmtId="0" fontId="12" fillId="6" borderId="17" xfId="0" applyNumberFormat="1" applyFont="1" applyFill="1" applyBorder="1" applyProtection="1">
      <protection locked="0"/>
    </xf>
    <xf numFmtId="0" fontId="0" fillId="6" borderId="18" xfId="0" applyFont="1" applyFill="1" applyBorder="1"/>
    <xf numFmtId="168" fontId="12" fillId="2" borderId="5" xfId="0" applyNumberFormat="1" applyFont="1" applyFill="1" applyBorder="1" applyProtection="1">
      <protection locked="0"/>
    </xf>
    <xf numFmtId="165" fontId="12" fillId="2" borderId="5" xfId="0" applyNumberFormat="1" applyFont="1" applyFill="1" applyBorder="1" applyProtection="1">
      <protection locked="0"/>
    </xf>
    <xf numFmtId="0" fontId="28" fillId="6" borderId="17" xfId="0" applyNumberFormat="1" applyFont="1" applyFill="1" applyBorder="1" applyAlignment="1" applyProtection="1">
      <alignment horizontal="center"/>
      <protection locked="0"/>
    </xf>
    <xf numFmtId="0" fontId="28" fillId="2" borderId="5" xfId="0" applyNumberFormat="1" applyFont="1" applyFill="1" applyBorder="1" applyAlignment="1" applyProtection="1">
      <protection locked="0"/>
    </xf>
    <xf numFmtId="0" fontId="12" fillId="2" borderId="5" xfId="0" applyNumberFormat="1" applyFont="1" applyFill="1" applyBorder="1" applyProtection="1">
      <protection locked="0"/>
    </xf>
    <xf numFmtId="0" fontId="12" fillId="2" borderId="5" xfId="0" applyNumberFormat="1" applyFont="1" applyFill="1" applyBorder="1" applyAlignment="1" applyProtection="1">
      <protection locked="0"/>
    </xf>
    <xf numFmtId="164" fontId="1" fillId="0" borderId="0" xfId="2" applyNumberFormat="1" applyFont="1" applyBorder="1"/>
    <xf numFmtId="1" fontId="1" fillId="2" borderId="5" xfId="1" applyNumberFormat="1" applyFont="1" applyFill="1" applyBorder="1" applyAlignment="1">
      <alignment horizontal="center"/>
    </xf>
    <xf numFmtId="0" fontId="28" fillId="6" borderId="3" xfId="0" applyNumberFormat="1" applyFont="1" applyFill="1" applyBorder="1" applyProtection="1">
      <protection locked="0"/>
    </xf>
    <xf numFmtId="0" fontId="28" fillId="6" borderId="13" xfId="0" applyNumberFormat="1" applyFont="1" applyFill="1" applyBorder="1" applyProtection="1">
      <protection locked="0"/>
    </xf>
    <xf numFmtId="0" fontId="27" fillId="6" borderId="13" xfId="0" applyNumberFormat="1" applyFont="1" applyFill="1" applyBorder="1" applyProtection="1">
      <protection locked="0"/>
    </xf>
    <xf numFmtId="0" fontId="27" fillId="6" borderId="11" xfId="0" applyNumberFormat="1" applyFont="1" applyFill="1" applyBorder="1" applyProtection="1">
      <protection locked="0"/>
    </xf>
    <xf numFmtId="0" fontId="4" fillId="6" borderId="26" xfId="0" applyFont="1" applyFill="1" applyBorder="1" applyAlignment="1">
      <alignment horizontal="center"/>
    </xf>
    <xf numFmtId="0" fontId="4" fillId="6" borderId="25" xfId="0" applyFont="1" applyFill="1" applyBorder="1" applyAlignment="1">
      <alignment horizontal="center"/>
    </xf>
    <xf numFmtId="164" fontId="0" fillId="6" borderId="22" xfId="0" applyNumberFormat="1" applyFill="1" applyBorder="1" applyAlignment="1">
      <alignment horizontal="center"/>
    </xf>
    <xf numFmtId="164" fontId="0" fillId="6" borderId="15" xfId="0" applyNumberFormat="1" applyFill="1" applyBorder="1"/>
    <xf numFmtId="0" fontId="11" fillId="6" borderId="0" xfId="0" applyFont="1" applyFill="1" applyBorder="1"/>
    <xf numFmtId="164" fontId="0" fillId="6" borderId="0" xfId="0" applyNumberFormat="1" applyFill="1" applyBorder="1"/>
    <xf numFmtId="0" fontId="11" fillId="0" borderId="0" xfId="0" applyFont="1" applyBorder="1"/>
    <xf numFmtId="0" fontId="4" fillId="6" borderId="0" xfId="0" applyFont="1" applyFill="1" applyBorder="1" applyAlignment="1">
      <alignment horizontal="right"/>
    </xf>
    <xf numFmtId="0" fontId="12" fillId="6" borderId="2" xfId="0" applyNumberFormat="1" applyFont="1" applyFill="1" applyBorder="1" applyAlignment="1" applyProtection="1">
      <alignment horizontal="right"/>
      <protection locked="0"/>
    </xf>
    <xf numFmtId="0" fontId="12" fillId="6" borderId="2" xfId="0" applyNumberFormat="1" applyFont="1" applyFill="1" applyBorder="1" applyProtection="1">
      <protection locked="0"/>
    </xf>
    <xf numFmtId="0" fontId="2" fillId="6" borderId="7" xfId="0" applyFont="1" applyFill="1" applyBorder="1"/>
    <xf numFmtId="49" fontId="0" fillId="6" borderId="12" xfId="0" applyNumberFormat="1" applyFill="1" applyBorder="1"/>
    <xf numFmtId="49" fontId="0" fillId="6" borderId="0" xfId="0" applyNumberFormat="1" applyFill="1" applyBorder="1"/>
    <xf numFmtId="0" fontId="4" fillId="6" borderId="11" xfId="0" applyFont="1" applyFill="1" applyBorder="1" applyAlignment="1">
      <alignment horizontal="left"/>
    </xf>
    <xf numFmtId="166" fontId="4" fillId="6" borderId="13" xfId="0" applyNumberFormat="1" applyFont="1" applyFill="1" applyBorder="1" applyAlignment="1">
      <alignment horizontal="center"/>
    </xf>
    <xf numFmtId="166" fontId="4" fillId="6" borderId="19" xfId="0" applyNumberFormat="1" applyFont="1" applyFill="1" applyBorder="1" applyAlignment="1">
      <alignment horizontal="center"/>
    </xf>
    <xf numFmtId="165" fontId="33" fillId="2" borderId="5" xfId="0" applyNumberFormat="1" applyFont="1" applyFill="1" applyBorder="1" applyAlignment="1" applyProtection="1">
      <alignment horizontal="center"/>
      <protection locked="0"/>
    </xf>
    <xf numFmtId="0" fontId="12" fillId="6" borderId="15" xfId="0" applyNumberFormat="1" applyFont="1" applyFill="1" applyBorder="1" applyProtection="1">
      <protection locked="0"/>
    </xf>
    <xf numFmtId="166" fontId="12" fillId="6" borderId="15" xfId="0" applyNumberFormat="1" applyFont="1" applyFill="1" applyBorder="1" applyAlignment="1" applyProtection="1">
      <protection locked="0"/>
    </xf>
    <xf numFmtId="0" fontId="16" fillId="6" borderId="16" xfId="0" applyNumberFormat="1" applyFont="1" applyFill="1" applyBorder="1" applyProtection="1">
      <protection locked="0"/>
    </xf>
    <xf numFmtId="0" fontId="32" fillId="0" borderId="0" xfId="0" applyFont="1" applyBorder="1"/>
    <xf numFmtId="0" fontId="10" fillId="6" borderId="0" xfId="0" applyFont="1" applyFill="1" applyBorder="1"/>
    <xf numFmtId="0" fontId="4" fillId="6" borderId="0" xfId="0" applyFont="1" applyFill="1" applyBorder="1"/>
    <xf numFmtId="164" fontId="3" fillId="6" borderId="0" xfId="0" applyNumberFormat="1" applyFont="1" applyFill="1" applyBorder="1"/>
    <xf numFmtId="164" fontId="10" fillId="6" borderId="0" xfId="0" applyNumberFormat="1" applyFont="1" applyFill="1" applyBorder="1"/>
    <xf numFmtId="0" fontId="10" fillId="6" borderId="15" xfId="0" applyFont="1" applyFill="1" applyBorder="1" applyAlignment="1">
      <alignment horizontal="right"/>
    </xf>
    <xf numFmtId="0" fontId="30" fillId="5" borderId="19" xfId="0" applyFont="1" applyFill="1" applyBorder="1"/>
    <xf numFmtId="0" fontId="30" fillId="5" borderId="15" xfId="0" applyFont="1" applyFill="1" applyBorder="1"/>
    <xf numFmtId="0" fontId="31" fillId="5" borderId="15" xfId="0" applyFont="1" applyFill="1" applyBorder="1" applyAlignment="1">
      <alignment horizontal="right"/>
    </xf>
    <xf numFmtId="0" fontId="31" fillId="5" borderId="15" xfId="0" applyFont="1" applyFill="1" applyBorder="1"/>
    <xf numFmtId="166" fontId="31" fillId="5" borderId="15" xfId="0" applyNumberFormat="1" applyFont="1" applyFill="1" applyBorder="1"/>
    <xf numFmtId="0" fontId="30" fillId="5" borderId="11" xfId="0" applyFont="1" applyFill="1" applyBorder="1"/>
    <xf numFmtId="0" fontId="30" fillId="5" borderId="12" xfId="0" applyFont="1" applyFill="1" applyBorder="1"/>
    <xf numFmtId="0" fontId="31" fillId="5" borderId="12" xfId="0" applyFont="1" applyFill="1" applyBorder="1" applyAlignment="1">
      <alignment horizontal="right"/>
    </xf>
    <xf numFmtId="0" fontId="31" fillId="5" borderId="12" xfId="0" applyFont="1" applyFill="1" applyBorder="1"/>
    <xf numFmtId="166" fontId="31" fillId="5" borderId="12" xfId="0" applyNumberFormat="1" applyFont="1" applyFill="1" applyBorder="1"/>
    <xf numFmtId="0" fontId="0" fillId="6" borderId="12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6" fillId="6" borderId="23" xfId="0" applyNumberFormat="1" applyFont="1" applyFill="1" applyBorder="1" applyAlignment="1" applyProtection="1">
      <protection locked="0"/>
    </xf>
    <xf numFmtId="164" fontId="1" fillId="6" borderId="2" xfId="2" applyNumberFormat="1" applyFont="1" applyFill="1" applyBorder="1"/>
    <xf numFmtId="0" fontId="12" fillId="6" borderId="12" xfId="0" applyNumberFormat="1" applyFont="1" applyFill="1" applyBorder="1" applyAlignment="1" applyProtection="1">
      <alignment horizontal="right"/>
      <protection locked="0"/>
    </xf>
    <xf numFmtId="0" fontId="12" fillId="6" borderId="12" xfId="0" applyNumberFormat="1" applyFont="1" applyFill="1" applyBorder="1" applyProtection="1">
      <protection locked="0"/>
    </xf>
    <xf numFmtId="0" fontId="0" fillId="0" borderId="15" xfId="0" applyFont="1" applyBorder="1"/>
    <xf numFmtId="0" fontId="2" fillId="6" borderId="4" xfId="0" applyFont="1" applyFill="1" applyBorder="1"/>
    <xf numFmtId="165" fontId="28" fillId="6" borderId="0" xfId="3" applyNumberFormat="1" applyFont="1" applyFill="1" applyBorder="1" applyAlignment="1" applyProtection="1">
      <alignment horizontal="center" vertical="center"/>
      <protection locked="0"/>
    </xf>
    <xf numFmtId="0" fontId="34" fillId="6" borderId="0" xfId="0" applyFont="1" applyFill="1" applyBorder="1" applyAlignment="1">
      <alignment horizontal="right"/>
    </xf>
    <xf numFmtId="166" fontId="31" fillId="5" borderId="0" xfId="0" applyNumberFormat="1" applyFont="1" applyFill="1" applyBorder="1" applyAlignment="1">
      <alignment horizontal="center"/>
    </xf>
    <xf numFmtId="164" fontId="0" fillId="6" borderId="19" xfId="0" applyNumberFormat="1" applyFill="1" applyBorder="1"/>
    <xf numFmtId="49" fontId="33" fillId="2" borderId="5" xfId="0" applyNumberFormat="1" applyFont="1" applyFill="1" applyBorder="1" applyAlignment="1" applyProtection="1">
      <alignment horizontal="center"/>
      <protection locked="0"/>
    </xf>
    <xf numFmtId="14" fontId="33" fillId="2" borderId="5" xfId="0" applyNumberFormat="1" applyFont="1" applyFill="1" applyBorder="1" applyAlignment="1" applyProtection="1">
      <alignment horizontal="center"/>
      <protection locked="0"/>
    </xf>
    <xf numFmtId="10" fontId="33" fillId="2" borderId="5" xfId="0" applyNumberFormat="1" applyFont="1" applyFill="1" applyBorder="1" applyAlignment="1" applyProtection="1">
      <alignment horizontal="center"/>
      <protection locked="0"/>
    </xf>
    <xf numFmtId="0" fontId="29" fillId="6" borderId="15" xfId="0" applyFont="1" applyFill="1" applyBorder="1" applyAlignment="1">
      <alignment horizontal="right"/>
    </xf>
    <xf numFmtId="171" fontId="29" fillId="6" borderId="15" xfId="0" applyNumberFormat="1" applyFont="1" applyFill="1" applyBorder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0" fontId="27" fillId="6" borderId="19" xfId="0" applyNumberFormat="1" applyFont="1" applyFill="1" applyBorder="1" applyProtection="1">
      <protection locked="0"/>
    </xf>
    <xf numFmtId="164" fontId="0" fillId="6" borderId="15" xfId="2" applyNumberFormat="1" applyFont="1" applyFill="1" applyBorder="1"/>
    <xf numFmtId="164" fontId="4" fillId="6" borderId="16" xfId="0" applyNumberFormat="1" applyFont="1" applyFill="1" applyBorder="1" applyAlignment="1">
      <alignment horizontal="center"/>
    </xf>
    <xf numFmtId="164" fontId="12" fillId="6" borderId="5" xfId="0" applyNumberFormat="1" applyFont="1" applyFill="1" applyBorder="1" applyAlignment="1" applyProtection="1">
      <protection locked="0"/>
    </xf>
    <xf numFmtId="168" fontId="12" fillId="6" borderId="5" xfId="0" applyNumberFormat="1" applyFont="1" applyFill="1" applyBorder="1" applyProtection="1">
      <protection locked="0"/>
    </xf>
    <xf numFmtId="166" fontId="12" fillId="6" borderId="5" xfId="0" applyNumberFormat="1" applyFont="1" applyFill="1" applyBorder="1" applyAlignment="1" applyProtection="1">
      <protection locked="0"/>
    </xf>
    <xf numFmtId="164" fontId="1" fillId="6" borderId="5" xfId="2" applyNumberFormat="1" applyFont="1" applyFill="1" applyBorder="1"/>
    <xf numFmtId="164" fontId="7" fillId="6" borderId="0" xfId="0" applyNumberFormat="1" applyFont="1" applyFill="1" applyBorder="1"/>
    <xf numFmtId="0" fontId="30" fillId="5" borderId="16" xfId="0" applyFont="1" applyFill="1" applyBorder="1" applyAlignment="1"/>
    <xf numFmtId="0" fontId="33" fillId="5" borderId="15" xfId="0" applyFont="1" applyFill="1" applyBorder="1" applyAlignment="1">
      <alignment horizontal="right"/>
    </xf>
    <xf numFmtId="0" fontId="0" fillId="6" borderId="10" xfId="0" applyFont="1" applyFill="1" applyBorder="1"/>
    <xf numFmtId="164" fontId="29" fillId="6" borderId="15" xfId="0" applyNumberFormat="1" applyFont="1" applyFill="1" applyBorder="1" applyAlignment="1">
      <alignment horizontal="right"/>
    </xf>
    <xf numFmtId="0" fontId="0" fillId="0" borderId="7" xfId="0" applyFont="1" applyBorder="1"/>
    <xf numFmtId="0" fontId="37" fillId="6" borderId="0" xfId="0" applyNumberFormat="1" applyFont="1" applyFill="1" applyBorder="1" applyAlignment="1" applyProtection="1">
      <alignment horizontal="right"/>
      <protection locked="0"/>
    </xf>
    <xf numFmtId="166" fontId="37" fillId="6" borderId="0" xfId="0" applyNumberFormat="1" applyFont="1" applyFill="1" applyBorder="1" applyAlignment="1" applyProtection="1">
      <alignment horizontal="right"/>
      <protection locked="0"/>
    </xf>
    <xf numFmtId="164" fontId="4" fillId="6" borderId="0" xfId="0" applyNumberFormat="1" applyFont="1" applyFill="1" applyBorder="1" applyAlignment="1">
      <alignment horizontal="center"/>
    </xf>
    <xf numFmtId="0" fontId="13" fillId="6" borderId="0" xfId="0" quotePrefix="1" applyNumberFormat="1" applyFont="1" applyFill="1" applyBorder="1" applyProtection="1">
      <protection locked="0"/>
    </xf>
    <xf numFmtId="0" fontId="13" fillId="6" borderId="0" xfId="0" quotePrefix="1" applyNumberFormat="1" applyFont="1" applyFill="1" applyBorder="1" applyAlignment="1" applyProtection="1">
      <alignment horizontal="right"/>
      <protection locked="0"/>
    </xf>
    <xf numFmtId="164" fontId="0" fillId="6" borderId="0" xfId="0" applyNumberFormat="1" applyFont="1" applyFill="1" applyBorder="1"/>
    <xf numFmtId="0" fontId="40" fillId="6" borderId="0" xfId="0" applyFont="1" applyFill="1" applyBorder="1" applyAlignment="1">
      <alignment horizontal="center"/>
    </xf>
    <xf numFmtId="0" fontId="9" fillId="6" borderId="0" xfId="0" applyFont="1" applyFill="1" applyBorder="1"/>
    <xf numFmtId="164" fontId="10" fillId="6" borderId="0" xfId="0" quotePrefix="1" applyNumberFormat="1" applyFont="1" applyFill="1" applyBorder="1"/>
    <xf numFmtId="164" fontId="2" fillId="6" borderId="0" xfId="0" applyNumberFormat="1" applyFont="1" applyFill="1" applyBorder="1"/>
    <xf numFmtId="164" fontId="2" fillId="6" borderId="1" xfId="0" applyNumberFormat="1" applyFont="1" applyFill="1" applyBorder="1"/>
    <xf numFmtId="164" fontId="0" fillId="6" borderId="0" xfId="0" applyNumberFormat="1" applyFont="1" applyFill="1" applyBorder="1" applyAlignment="1">
      <alignment horizontal="right"/>
    </xf>
    <xf numFmtId="166" fontId="0" fillId="6" borderId="0" xfId="0" applyNumberFormat="1" applyFont="1" applyFill="1" applyBorder="1" applyAlignment="1">
      <alignment horizontal="center"/>
    </xf>
    <xf numFmtId="0" fontId="0" fillId="6" borderId="0" xfId="0" applyFont="1" applyFill="1" applyBorder="1" applyAlignment="1">
      <alignment horizontal="right"/>
    </xf>
    <xf numFmtId="171" fontId="0" fillId="6" borderId="0" xfId="0" applyNumberFormat="1" applyFont="1" applyFill="1" applyBorder="1" applyAlignment="1">
      <alignment horizontal="center"/>
    </xf>
    <xf numFmtId="170" fontId="0" fillId="6" borderId="0" xfId="0" applyNumberFormat="1" applyFont="1" applyFill="1" applyBorder="1" applyAlignment="1">
      <alignment horizontal="center"/>
    </xf>
    <xf numFmtId="169" fontId="0" fillId="6" borderId="0" xfId="0" applyNumberFormat="1" applyFont="1" applyFill="1" applyBorder="1" applyAlignment="1">
      <alignment horizontal="center"/>
    </xf>
    <xf numFmtId="164" fontId="0" fillId="6" borderId="0" xfId="0" applyNumberFormat="1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171" fontId="2" fillId="6" borderId="0" xfId="0" applyNumberFormat="1" applyFont="1" applyFill="1" applyBorder="1" applyAlignment="1">
      <alignment horizontal="center"/>
    </xf>
    <xf numFmtId="170" fontId="5" fillId="6" borderId="0" xfId="0" applyNumberFormat="1" applyFont="1" applyFill="1" applyBorder="1" applyAlignment="1">
      <alignment horizontal="center"/>
    </xf>
    <xf numFmtId="170" fontId="2" fillId="6" borderId="0" xfId="0" applyNumberFormat="1" applyFont="1" applyFill="1" applyBorder="1" applyAlignment="1">
      <alignment horizontal="center"/>
    </xf>
    <xf numFmtId="164" fontId="2" fillId="6" borderId="12" xfId="2" applyNumberFormat="1" applyFont="1" applyFill="1" applyBorder="1"/>
    <xf numFmtId="166" fontId="41" fillId="6" borderId="15" xfId="0" applyNumberFormat="1" applyFont="1" applyFill="1" applyBorder="1" applyAlignment="1" applyProtection="1">
      <protection locked="0"/>
    </xf>
    <xf numFmtId="166" fontId="41" fillId="6" borderId="0" xfId="0" applyNumberFormat="1" applyFont="1" applyFill="1" applyBorder="1" applyAlignment="1" applyProtection="1">
      <protection locked="0"/>
    </xf>
    <xf numFmtId="164" fontId="32" fillId="6" borderId="0" xfId="2" applyNumberFormat="1" applyFont="1" applyFill="1" applyBorder="1"/>
    <xf numFmtId="164" fontId="2" fillId="6" borderId="0" xfId="2" applyNumberFormat="1" applyFont="1" applyFill="1" applyBorder="1"/>
    <xf numFmtId="164" fontId="4" fillId="6" borderId="15" xfId="0" applyNumberFormat="1" applyFont="1" applyFill="1" applyBorder="1" applyAlignment="1">
      <alignment horizontal="center"/>
    </xf>
    <xf numFmtId="164" fontId="0" fillId="6" borderId="12" xfId="2" applyNumberFormat="1" applyFont="1" applyFill="1" applyBorder="1"/>
    <xf numFmtId="0" fontId="38" fillId="6" borderId="12" xfId="0" applyNumberFormat="1" applyFont="1" applyFill="1" applyBorder="1" applyProtection="1">
      <protection locked="0"/>
    </xf>
    <xf numFmtId="0" fontId="2" fillId="6" borderId="11" xfId="0" applyFont="1" applyFill="1" applyBorder="1"/>
    <xf numFmtId="0" fontId="2" fillId="6" borderId="12" xfId="0" applyFont="1" applyFill="1" applyBorder="1"/>
    <xf numFmtId="0" fontId="5" fillId="6" borderId="12" xfId="0" applyFont="1" applyFill="1" applyBorder="1" applyAlignment="1">
      <alignment horizontal="center"/>
    </xf>
    <xf numFmtId="0" fontId="27" fillId="6" borderId="3" xfId="0" applyNumberFormat="1" applyFont="1" applyFill="1" applyBorder="1" applyProtection="1">
      <protection locked="0"/>
    </xf>
    <xf numFmtId="0" fontId="27" fillId="6" borderId="14" xfId="0" applyNumberFormat="1" applyFont="1" applyFill="1" applyBorder="1" applyProtection="1">
      <protection locked="0"/>
    </xf>
    <xf numFmtId="166" fontId="1" fillId="2" borderId="5" xfId="2" applyNumberFormat="1" applyFont="1" applyFill="1" applyBorder="1" applyAlignment="1">
      <alignment horizontal="center"/>
    </xf>
    <xf numFmtId="165" fontId="42" fillId="6" borderId="0" xfId="3" applyNumberFormat="1" applyFont="1" applyFill="1" applyBorder="1" applyAlignment="1" applyProtection="1">
      <alignment horizontal="center" vertical="center"/>
      <protection locked="0"/>
    </xf>
    <xf numFmtId="0" fontId="29" fillId="6" borderId="0" xfId="0" applyFont="1" applyFill="1" applyBorder="1"/>
    <xf numFmtId="0" fontId="3" fillId="6" borderId="0" xfId="0" applyFont="1" applyFill="1" applyBorder="1"/>
    <xf numFmtId="0" fontId="16" fillId="6" borderId="0" xfId="0" applyNumberFormat="1" applyFont="1" applyFill="1" applyBorder="1" applyAlignment="1" applyProtection="1">
      <alignment horizontal="center"/>
      <protection locked="0"/>
    </xf>
    <xf numFmtId="0" fontId="43" fillId="6" borderId="0" xfId="0" applyNumberFormat="1" applyFont="1" applyFill="1" applyBorder="1" applyAlignment="1" applyProtection="1">
      <alignment horizontal="center"/>
      <protection locked="0"/>
    </xf>
    <xf numFmtId="0" fontId="44" fillId="6" borderId="0" xfId="0" applyNumberFormat="1" applyFont="1" applyFill="1" applyBorder="1" applyAlignment="1" applyProtection="1">
      <alignment horizontal="right"/>
      <protection locked="0"/>
    </xf>
    <xf numFmtId="0" fontId="3" fillId="6" borderId="0" xfId="0" applyFont="1" applyFill="1" applyBorder="1" applyAlignment="1">
      <alignment horizontal="right"/>
    </xf>
    <xf numFmtId="166" fontId="35" fillId="6" borderId="0" xfId="0" applyNumberFormat="1" applyFont="1" applyFill="1" applyBorder="1" applyAlignment="1" applyProtection="1">
      <alignment horizontal="center"/>
      <protection locked="0"/>
    </xf>
    <xf numFmtId="166" fontId="12" fillId="6" borderId="0" xfId="0" applyNumberFormat="1" applyFont="1" applyFill="1" applyBorder="1" applyAlignment="1" applyProtection="1">
      <protection locked="0"/>
    </xf>
    <xf numFmtId="0" fontId="29" fillId="6" borderId="0" xfId="0" applyFont="1" applyFill="1" applyBorder="1" applyAlignment="1">
      <alignment horizontal="right"/>
    </xf>
    <xf numFmtId="0" fontId="6" fillId="6" borderId="0" xfId="0" applyFont="1" applyFill="1" applyBorder="1" applyAlignment="1">
      <alignment horizontal="center"/>
    </xf>
    <xf numFmtId="166" fontId="4" fillId="6" borderId="0" xfId="0" applyNumberFormat="1" applyFont="1" applyFill="1" applyBorder="1"/>
    <xf numFmtId="170" fontId="33" fillId="6" borderId="0" xfId="3" applyNumberFormat="1" applyFont="1" applyFill="1" applyBorder="1" applyAlignment="1" applyProtection="1">
      <protection locked="0"/>
    </xf>
    <xf numFmtId="164" fontId="4" fillId="6" borderId="0" xfId="0" applyNumberFormat="1" applyFont="1" applyFill="1" applyBorder="1"/>
    <xf numFmtId="0" fontId="28" fillId="6" borderId="19" xfId="0" applyNumberFormat="1" applyFont="1" applyFill="1" applyBorder="1" applyProtection="1">
      <protection locked="0"/>
    </xf>
    <xf numFmtId="0" fontId="44" fillId="6" borderId="15" xfId="0" applyNumberFormat="1" applyFont="1" applyFill="1" applyBorder="1" applyAlignment="1" applyProtection="1">
      <alignment horizontal="right"/>
      <protection locked="0"/>
    </xf>
    <xf numFmtId="164" fontId="4" fillId="6" borderId="2" xfId="0" applyNumberFormat="1" applyFont="1" applyFill="1" applyBorder="1"/>
    <xf numFmtId="0" fontId="41" fillId="6" borderId="0" xfId="0" applyNumberFormat="1" applyFont="1" applyFill="1" applyBorder="1" applyProtection="1">
      <protection locked="0"/>
    </xf>
    <xf numFmtId="166" fontId="6" fillId="6" borderId="0" xfId="0" applyNumberFormat="1" applyFont="1" applyFill="1" applyBorder="1"/>
    <xf numFmtId="170" fontId="45" fillId="6" borderId="0" xfId="3" applyNumberFormat="1" applyFont="1" applyFill="1" applyBorder="1" applyAlignment="1" applyProtection="1">
      <protection locked="0"/>
    </xf>
    <xf numFmtId="166" fontId="4" fillId="6" borderId="15" xfId="0" applyNumberFormat="1" applyFont="1" applyFill="1" applyBorder="1"/>
    <xf numFmtId="170" fontId="4" fillId="6" borderId="15" xfId="3" applyNumberFormat="1" applyFont="1" applyFill="1" applyBorder="1"/>
    <xf numFmtId="0" fontId="6" fillId="6" borderId="14" xfId="0" applyFont="1" applyFill="1" applyBorder="1" applyAlignment="1">
      <alignment horizontal="center"/>
    </xf>
    <xf numFmtId="170" fontId="33" fillId="6" borderId="14" xfId="3" applyNumberFormat="1" applyFont="1" applyFill="1" applyBorder="1" applyAlignment="1" applyProtection="1">
      <protection locked="0"/>
    </xf>
    <xf numFmtId="0" fontId="4" fillId="6" borderId="14" xfId="0" applyFont="1" applyFill="1" applyBorder="1"/>
    <xf numFmtId="170" fontId="4" fillId="6" borderId="23" xfId="3" applyNumberFormat="1" applyFont="1" applyFill="1" applyBorder="1"/>
    <xf numFmtId="0" fontId="34" fillId="6" borderId="12" xfId="0" applyFont="1" applyFill="1" applyBorder="1" applyAlignment="1">
      <alignment horizontal="right"/>
    </xf>
    <xf numFmtId="166" fontId="35" fillId="6" borderId="12" xfId="0" applyNumberFormat="1" applyFont="1" applyFill="1" applyBorder="1" applyAlignment="1" applyProtection="1">
      <alignment horizontal="center"/>
      <protection locked="0"/>
    </xf>
    <xf numFmtId="164" fontId="0" fillId="6" borderId="14" xfId="2" applyNumberFormat="1" applyFont="1" applyFill="1" applyBorder="1"/>
    <xf numFmtId="0" fontId="0" fillId="5" borderId="25" xfId="0" applyFill="1" applyBorder="1"/>
    <xf numFmtId="0" fontId="8" fillId="6" borderId="15" xfId="0" applyFont="1" applyFill="1" applyBorder="1" applyAlignment="1">
      <alignment horizontal="right"/>
    </xf>
    <xf numFmtId="166" fontId="8" fillId="6" borderId="15" xfId="0" applyNumberFormat="1" applyFont="1" applyFill="1" applyBorder="1" applyAlignment="1">
      <alignment horizontal="center"/>
    </xf>
    <xf numFmtId="0" fontId="4" fillId="6" borderId="0" xfId="0" applyFont="1" applyFill="1" applyBorder="1" applyAlignment="1">
      <alignment horizontal="right" vertical="top"/>
    </xf>
    <xf numFmtId="170" fontId="0" fillId="6" borderId="0" xfId="3" applyNumberFormat="1" applyFont="1" applyFill="1" applyBorder="1" applyAlignment="1">
      <alignment horizontal="center"/>
    </xf>
    <xf numFmtId="0" fontId="30" fillId="5" borderId="2" xfId="0" applyFont="1" applyFill="1" applyBorder="1"/>
    <xf numFmtId="0" fontId="31" fillId="5" borderId="2" xfId="0" applyFont="1" applyFill="1" applyBorder="1" applyAlignment="1">
      <alignment horizontal="right"/>
    </xf>
    <xf numFmtId="0" fontId="31" fillId="5" borderId="2" xfId="0" applyFont="1" applyFill="1" applyBorder="1"/>
    <xf numFmtId="166" fontId="31" fillId="5" borderId="2" xfId="0" applyNumberFormat="1" applyFont="1" applyFill="1" applyBorder="1"/>
    <xf numFmtId="0" fontId="30" fillId="5" borderId="16" xfId="0" applyFont="1" applyFill="1" applyBorder="1"/>
    <xf numFmtId="0" fontId="37" fillId="6" borderId="14" xfId="0" applyNumberFormat="1" applyFont="1" applyFill="1" applyBorder="1" applyAlignment="1" applyProtection="1">
      <protection locked="0"/>
    </xf>
    <xf numFmtId="170" fontId="1" fillId="2" borderId="5" xfId="3" applyNumberFormat="1" applyFont="1" applyFill="1" applyBorder="1" applyAlignment="1">
      <alignment horizontal="center"/>
    </xf>
    <xf numFmtId="164" fontId="4" fillId="6" borderId="0" xfId="0" applyNumberFormat="1" applyFont="1" applyFill="1" applyBorder="1" applyAlignment="1">
      <alignment horizontal="center"/>
    </xf>
    <xf numFmtId="0" fontId="8" fillId="6" borderId="0" xfId="0" applyFont="1" applyFill="1" applyBorder="1" applyAlignment="1">
      <alignment horizontal="right"/>
    </xf>
    <xf numFmtId="166" fontId="8" fillId="6" borderId="0" xfId="0" applyNumberFormat="1" applyFont="1" applyFill="1" applyBorder="1" applyAlignment="1">
      <alignment horizontal="center"/>
    </xf>
    <xf numFmtId="0" fontId="4" fillId="6" borderId="15" xfId="0" applyFont="1" applyFill="1" applyBorder="1"/>
    <xf numFmtId="0" fontId="34" fillId="6" borderId="15" xfId="0" applyFont="1" applyFill="1" applyBorder="1" applyAlignment="1">
      <alignment horizontal="right"/>
    </xf>
    <xf numFmtId="166" fontId="35" fillId="6" borderId="15" xfId="0" applyNumberFormat="1" applyFont="1" applyFill="1" applyBorder="1" applyAlignment="1" applyProtection="1">
      <alignment horizontal="center"/>
      <protection locked="0"/>
    </xf>
    <xf numFmtId="0" fontId="0" fillId="5" borderId="11" xfId="0" applyFill="1" applyBorder="1" applyAlignment="1"/>
    <xf numFmtId="0" fontId="0" fillId="5" borderId="3" xfId="0" applyFill="1" applyBorder="1" applyAlignment="1"/>
    <xf numFmtId="0" fontId="12" fillId="5" borderId="3" xfId="0" applyFont="1" applyFill="1" applyBorder="1"/>
    <xf numFmtId="165" fontId="37" fillId="6" borderId="0" xfId="3" applyNumberFormat="1" applyFont="1" applyFill="1" applyBorder="1" applyAlignment="1" applyProtection="1">
      <alignment horizontal="center" vertical="center"/>
      <protection locked="0"/>
    </xf>
    <xf numFmtId="170" fontId="0" fillId="6" borderId="0" xfId="3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170" fontId="5" fillId="6" borderId="0" xfId="3" applyNumberFormat="1" applyFont="1" applyFill="1" applyBorder="1" applyAlignment="1">
      <alignment horizontal="right"/>
    </xf>
    <xf numFmtId="170" fontId="0" fillId="6" borderId="15" xfId="0" applyNumberFormat="1" applyFill="1" applyBorder="1" applyAlignment="1">
      <alignment horizontal="right"/>
    </xf>
    <xf numFmtId="166" fontId="0" fillId="6" borderId="0" xfId="0" applyNumberFormat="1" applyFill="1" applyBorder="1" applyAlignment="1">
      <alignment horizontal="right"/>
    </xf>
    <xf numFmtId="166" fontId="1" fillId="6" borderId="5" xfId="2" applyNumberFormat="1" applyFont="1" applyFill="1" applyBorder="1" applyAlignment="1">
      <alignment horizontal="right"/>
    </xf>
    <xf numFmtId="166" fontId="0" fillId="6" borderId="2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/>
    <xf numFmtId="0" fontId="16" fillId="6" borderId="0" xfId="0" applyNumberFormat="1" applyFont="1" applyFill="1" applyBorder="1" applyAlignment="1" applyProtection="1">
      <alignment horizontal="right"/>
      <protection locked="0"/>
    </xf>
    <xf numFmtId="49" fontId="33" fillId="2" borderId="5" xfId="0" applyNumberFormat="1" applyFont="1" applyFill="1" applyBorder="1" applyAlignment="1" applyProtection="1">
      <alignment horizontal="center" vertical="center"/>
      <protection locked="0"/>
    </xf>
    <xf numFmtId="1" fontId="16" fillId="6" borderId="0" xfId="0" applyNumberFormat="1" applyFont="1" applyFill="1" applyBorder="1" applyAlignment="1" applyProtection="1">
      <protection locked="0"/>
    </xf>
    <xf numFmtId="1" fontId="16" fillId="6" borderId="5" xfId="0" applyNumberFormat="1" applyFont="1" applyFill="1" applyBorder="1" applyAlignment="1" applyProtection="1">
      <alignment horizontal="center"/>
      <protection locked="0"/>
    </xf>
    <xf numFmtId="166" fontId="36" fillId="6" borderId="5" xfId="0" applyNumberFormat="1" applyFont="1" applyFill="1" applyBorder="1" applyProtection="1">
      <protection locked="0"/>
    </xf>
    <xf numFmtId="166" fontId="12" fillId="6" borderId="4" xfId="0" applyNumberFormat="1" applyFont="1" applyFill="1" applyBorder="1" applyAlignment="1" applyProtection="1">
      <protection locked="0"/>
    </xf>
    <xf numFmtId="49" fontId="33" fillId="2" borderId="26" xfId="0" applyNumberFormat="1" applyFont="1" applyFill="1" applyBorder="1" applyAlignment="1" applyProtection="1">
      <alignment horizontal="center"/>
      <protection locked="0"/>
    </xf>
    <xf numFmtId="164" fontId="4" fillId="6" borderId="3" xfId="0" applyNumberFormat="1" applyFont="1" applyFill="1" applyBorder="1" applyAlignment="1">
      <alignment horizontal="center"/>
    </xf>
    <xf numFmtId="164" fontId="4" fillId="6" borderId="14" xfId="0" applyNumberFormat="1" applyFont="1" applyFill="1" applyBorder="1" applyAlignment="1"/>
    <xf numFmtId="0" fontId="0" fillId="0" borderId="13" xfId="0" applyFont="1" applyBorder="1"/>
    <xf numFmtId="0" fontId="16" fillId="6" borderId="19" xfId="0" applyNumberFormat="1" applyFont="1" applyFill="1" applyBorder="1" applyProtection="1">
      <protection locked="0"/>
    </xf>
    <xf numFmtId="164" fontId="4" fillId="6" borderId="15" xfId="0" applyNumberFormat="1" applyFont="1" applyFill="1" applyBorder="1" applyAlignment="1">
      <alignment horizontal="right"/>
    </xf>
    <xf numFmtId="0" fontId="0" fillId="6" borderId="15" xfId="0" quotePrefix="1" applyFill="1" applyBorder="1"/>
    <xf numFmtId="164" fontId="12" fillId="6" borderId="0" xfId="0" applyNumberFormat="1" applyFont="1" applyFill="1" applyBorder="1" applyProtection="1">
      <protection locked="0"/>
    </xf>
    <xf numFmtId="164" fontId="48" fillId="6" borderId="0" xfId="0" applyNumberFormat="1" applyFont="1" applyFill="1" applyBorder="1" applyProtection="1">
      <protection locked="0"/>
    </xf>
    <xf numFmtId="164" fontId="49" fillId="6" borderId="0" xfId="0" applyNumberFormat="1" applyFont="1" applyFill="1" applyBorder="1" applyProtection="1">
      <protection locked="0"/>
    </xf>
    <xf numFmtId="0" fontId="28" fillId="6" borderId="0" xfId="0" applyNumberFormat="1" applyFont="1" applyFill="1" applyBorder="1" applyAlignment="1" applyProtection="1">
      <alignment horizontal="right"/>
      <protection locked="0"/>
    </xf>
    <xf numFmtId="166" fontId="29" fillId="6" borderId="15" xfId="0" applyNumberFormat="1" applyFont="1" applyFill="1" applyBorder="1" applyAlignment="1"/>
    <xf numFmtId="49" fontId="0" fillId="6" borderId="12" xfId="0" applyNumberFormat="1" applyFont="1" applyFill="1" applyBorder="1"/>
    <xf numFmtId="0" fontId="29" fillId="6" borderId="15" xfId="0" applyFont="1" applyFill="1" applyBorder="1"/>
    <xf numFmtId="0" fontId="8" fillId="6" borderId="0" xfId="0" applyFont="1" applyFill="1" applyBorder="1"/>
    <xf numFmtId="0" fontId="0" fillId="5" borderId="14" xfId="0" applyFill="1" applyBorder="1" applyAlignment="1"/>
    <xf numFmtId="0" fontId="50" fillId="6" borderId="12" xfId="0" applyFont="1" applyFill="1" applyBorder="1" applyAlignment="1">
      <alignment horizontal="center"/>
    </xf>
    <xf numFmtId="0" fontId="50" fillId="6" borderId="11" xfId="0" applyFont="1" applyFill="1" applyBorder="1" applyAlignment="1">
      <alignment horizontal="center"/>
    </xf>
    <xf numFmtId="0" fontId="50" fillId="6" borderId="4" xfId="0" applyFont="1" applyFill="1" applyBorder="1" applyAlignment="1">
      <alignment horizontal="center"/>
    </xf>
    <xf numFmtId="0" fontId="50" fillId="6" borderId="23" xfId="0" applyFont="1" applyFill="1" applyBorder="1" applyAlignment="1">
      <alignment horizontal="center"/>
    </xf>
    <xf numFmtId="0" fontId="29" fillId="6" borderId="12" xfId="0" applyFont="1" applyFill="1" applyBorder="1"/>
    <xf numFmtId="166" fontId="12" fillId="6" borderId="12" xfId="0" applyNumberFormat="1" applyFont="1" applyFill="1" applyBorder="1" applyAlignment="1" applyProtection="1">
      <protection locked="0"/>
    </xf>
    <xf numFmtId="0" fontId="12" fillId="2" borderId="5" xfId="0" applyNumberFormat="1" applyFont="1" applyFill="1" applyBorder="1" applyAlignment="1" applyProtection="1">
      <alignment horizontal="center"/>
      <protection locked="0"/>
    </xf>
    <xf numFmtId="0" fontId="36" fillId="6" borderId="5" xfId="0" applyNumberFormat="1" applyFont="1" applyFill="1" applyBorder="1" applyAlignment="1" applyProtection="1">
      <alignment horizontal="center"/>
      <protection locked="0"/>
    </xf>
    <xf numFmtId="0" fontId="29" fillId="6" borderId="5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166" fontId="0" fillId="6" borderId="0" xfId="0" applyNumberFormat="1" applyFont="1" applyFill="1" applyBorder="1" applyAlignment="1">
      <alignment horizontal="center"/>
    </xf>
    <xf numFmtId="166" fontId="5" fillId="6" borderId="0" xfId="0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4" fillId="6" borderId="11" xfId="0" applyNumberFormat="1" applyFont="1" applyFill="1" applyBorder="1" applyAlignment="1">
      <alignment horizontal="center"/>
    </xf>
    <xf numFmtId="164" fontId="4" fillId="6" borderId="12" xfId="0" applyNumberFormat="1" applyFont="1" applyFill="1" applyBorder="1" applyAlignment="1">
      <alignment horizontal="center"/>
    </xf>
    <xf numFmtId="171" fontId="16" fillId="6" borderId="4" xfId="0" applyNumberFormat="1" applyFont="1" applyFill="1" applyBorder="1" applyAlignment="1" applyProtection="1">
      <alignment horizontal="center" vertical="center"/>
      <protection locked="0"/>
    </xf>
    <xf numFmtId="171" fontId="16" fillId="6" borderId="23" xfId="0" applyNumberFormat="1" applyFont="1" applyFill="1" applyBorder="1" applyAlignment="1" applyProtection="1">
      <alignment horizontal="center" vertical="center"/>
      <protection locked="0"/>
    </xf>
    <xf numFmtId="164" fontId="4" fillId="6" borderId="13" xfId="0" applyNumberFormat="1" applyFont="1" applyFill="1" applyBorder="1" applyAlignment="1">
      <alignment horizontal="center"/>
    </xf>
    <xf numFmtId="164" fontId="4" fillId="6" borderId="0" xfId="0" applyNumberFormat="1" applyFont="1" applyFill="1" applyBorder="1" applyAlignment="1">
      <alignment horizontal="center"/>
    </xf>
    <xf numFmtId="165" fontId="28" fillId="6" borderId="13" xfId="3" applyNumberFormat="1" applyFont="1" applyFill="1" applyBorder="1" applyAlignment="1" applyProtection="1">
      <alignment horizontal="center" vertical="center"/>
      <protection locked="0"/>
    </xf>
    <xf numFmtId="165" fontId="28" fillId="6" borderId="0" xfId="3" applyNumberFormat="1" applyFont="1" applyFill="1" applyBorder="1" applyAlignment="1" applyProtection="1">
      <alignment horizontal="center" vertical="center"/>
      <protection locked="0"/>
    </xf>
    <xf numFmtId="165" fontId="47" fillId="6" borderId="13" xfId="3" applyNumberFormat="1" applyFont="1" applyFill="1" applyBorder="1" applyAlignment="1" applyProtection="1">
      <alignment horizontal="center" vertical="center"/>
      <protection locked="0"/>
    </xf>
    <xf numFmtId="165" fontId="47" fillId="6" borderId="0" xfId="3" applyNumberFormat="1" applyFont="1" applyFill="1" applyBorder="1" applyAlignment="1" applyProtection="1">
      <alignment horizontal="center" vertical="center"/>
      <protection locked="0"/>
    </xf>
    <xf numFmtId="164" fontId="4" fillId="6" borderId="2" xfId="0" applyNumberFormat="1" applyFont="1" applyFill="1" applyBorder="1" applyAlignment="1">
      <alignment horizontal="center"/>
    </xf>
    <xf numFmtId="164" fontId="4" fillId="6" borderId="23" xfId="0" applyNumberFormat="1" applyFont="1" applyFill="1" applyBorder="1" applyAlignment="1">
      <alignment horizontal="center"/>
    </xf>
    <xf numFmtId="164" fontId="0" fillId="6" borderId="19" xfId="0" applyNumberFormat="1" applyFill="1" applyBorder="1" applyAlignment="1">
      <alignment horizontal="center"/>
    </xf>
    <xf numFmtId="164" fontId="0" fillId="6" borderId="16" xfId="0" applyNumberFormat="1" applyFill="1" applyBorder="1" applyAlignment="1">
      <alignment horizontal="center"/>
    </xf>
    <xf numFmtId="0" fontId="33" fillId="6" borderId="11" xfId="0" applyNumberFormat="1" applyFont="1" applyFill="1" applyBorder="1" applyAlignment="1" applyProtection="1">
      <alignment horizontal="center"/>
      <protection locked="0"/>
    </xf>
    <xf numFmtId="0" fontId="33" fillId="6" borderId="3" xfId="0" applyNumberFormat="1" applyFont="1" applyFill="1" applyBorder="1" applyAlignment="1" applyProtection="1">
      <alignment horizontal="center"/>
      <protection locked="0"/>
    </xf>
    <xf numFmtId="0" fontId="33" fillId="6" borderId="13" xfId="0" applyNumberFormat="1" applyFont="1" applyFill="1" applyBorder="1" applyAlignment="1" applyProtection="1">
      <alignment horizontal="center"/>
      <protection locked="0"/>
    </xf>
    <xf numFmtId="0" fontId="33" fillId="6" borderId="14" xfId="0" applyNumberFormat="1" applyFont="1" applyFill="1" applyBorder="1" applyAlignment="1" applyProtection="1">
      <alignment horizontal="center"/>
      <protection locked="0"/>
    </xf>
    <xf numFmtId="164" fontId="4" fillId="6" borderId="0" xfId="0" applyNumberFormat="1" applyFont="1" applyFill="1" applyBorder="1" applyAlignment="1">
      <alignment horizontal="right"/>
    </xf>
    <xf numFmtId="164" fontId="4" fillId="6" borderId="14" xfId="0" applyNumberFormat="1" applyFont="1" applyFill="1" applyBorder="1" applyAlignment="1">
      <alignment horizontal="right"/>
    </xf>
    <xf numFmtId="170" fontId="33" fillId="2" borderId="4" xfId="0" applyNumberFormat="1" applyFont="1" applyFill="1" applyBorder="1" applyAlignment="1" applyProtection="1">
      <alignment horizontal="center"/>
      <protection locked="0"/>
    </xf>
    <xf numFmtId="170" fontId="33" fillId="2" borderId="23" xfId="0" applyNumberFormat="1" applyFont="1" applyFill="1" applyBorder="1" applyAlignment="1" applyProtection="1">
      <alignment horizontal="center"/>
      <protection locked="0"/>
    </xf>
    <xf numFmtId="1" fontId="16" fillId="6" borderId="13" xfId="0" applyNumberFormat="1" applyFont="1" applyFill="1" applyBorder="1" applyAlignment="1" applyProtection="1">
      <alignment horizontal="center"/>
      <protection locked="0"/>
    </xf>
    <xf numFmtId="1" fontId="16" fillId="6" borderId="14" xfId="0" applyNumberFormat="1" applyFont="1" applyFill="1" applyBorder="1" applyAlignment="1" applyProtection="1">
      <alignment horizontal="center"/>
      <protection locked="0"/>
    </xf>
  </cellXfs>
  <cellStyles count="39">
    <cellStyle name="Comma" xfId="1" builtinId="3"/>
    <cellStyle name="Comma 2" xfId="4"/>
    <cellStyle name="Comma 3" xfId="5"/>
    <cellStyle name="Comma 4" xfId="6"/>
    <cellStyle name="Comma 5" xfId="7"/>
    <cellStyle name="Comma 5 2" xfId="8"/>
    <cellStyle name="Currency" xfId="2" builtinId="4"/>
    <cellStyle name="Currency 2" xfId="9"/>
    <cellStyle name="Currency 3" xfId="10"/>
    <cellStyle name="Currency 4" xfId="11"/>
    <cellStyle name="Currency 5" xfId="12"/>
    <cellStyle name="Currency 5 2" xfId="13"/>
    <cellStyle name="Final" xfId="14"/>
    <cellStyle name="Grey" xfId="15"/>
    <cellStyle name="Input [yellow]" xfId="16"/>
    <cellStyle name="Loss" xfId="17"/>
    <cellStyle name="Normal" xfId="0" builtinId="0"/>
    <cellStyle name="Normal - Style1" xfId="18"/>
    <cellStyle name="Normal 2" xfId="19"/>
    <cellStyle name="Normal 3" xfId="20"/>
    <cellStyle name="Normal 4" xfId="21"/>
    <cellStyle name="Normal 4 2" xfId="22"/>
    <cellStyle name="Normal 5" xfId="23"/>
    <cellStyle name="Normal 6" xfId="24"/>
    <cellStyle name="Normal 6 2" xfId="25"/>
    <cellStyle name="Percent" xfId="3" builtinId="5"/>
    <cellStyle name="Percent [2]" xfId="26"/>
    <cellStyle name="Percent 2" xfId="27"/>
    <cellStyle name="Percent 3" xfId="28"/>
    <cellStyle name="Percent 4" xfId="29"/>
    <cellStyle name="Percent 5" xfId="30"/>
    <cellStyle name="Percent 5 2" xfId="31"/>
    <cellStyle name="PSChar" xfId="32"/>
    <cellStyle name="PSDec" xfId="33"/>
    <cellStyle name="PSHeading" xfId="34"/>
    <cellStyle name="Section Header" xfId="35"/>
    <cellStyle name="Style 1" xfId="36"/>
    <cellStyle name="Sub -Section" xfId="37"/>
    <cellStyle name="Win" xfId="38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66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800101</xdr:colOff>
      <xdr:row>158</xdr:row>
      <xdr:rowOff>28575</xdr:rowOff>
    </xdr:from>
    <xdr:to>
      <xdr:col>17</xdr:col>
      <xdr:colOff>76200</xdr:colOff>
      <xdr:row>163</xdr:row>
      <xdr:rowOff>0</xdr:rowOff>
    </xdr:to>
    <xdr:sp macro="" textlink="">
      <xdr:nvSpPr>
        <xdr:cNvPr id="2" name="Right Brace 1"/>
        <xdr:cNvSpPr/>
      </xdr:nvSpPr>
      <xdr:spPr>
        <a:xfrm>
          <a:off x="7200901" y="13173075"/>
          <a:ext cx="314324" cy="923925"/>
        </a:xfrm>
        <a:prstGeom prst="rightBrace">
          <a:avLst>
            <a:gd name="adj1" fmla="val 8333"/>
            <a:gd name="adj2" fmla="val 8917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47625</xdr:colOff>
      <xdr:row>109</xdr:row>
      <xdr:rowOff>133350</xdr:rowOff>
    </xdr:from>
    <xdr:to>
      <xdr:col>18</xdr:col>
      <xdr:colOff>19050</xdr:colOff>
      <xdr:row>109</xdr:row>
      <xdr:rowOff>133350</xdr:rowOff>
    </xdr:to>
    <xdr:cxnSp macro="">
      <xdr:nvCxnSpPr>
        <xdr:cNvPr id="4" name="Straight Arrow Connector 3"/>
        <xdr:cNvCxnSpPr/>
      </xdr:nvCxnSpPr>
      <xdr:spPr>
        <a:xfrm flipH="1">
          <a:off x="6267450" y="19107150"/>
          <a:ext cx="1857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514350</xdr:colOff>
      <xdr:row>110</xdr:row>
      <xdr:rowOff>19050</xdr:rowOff>
    </xdr:from>
    <xdr:to>
      <xdr:col>18</xdr:col>
      <xdr:colOff>523876</xdr:colOff>
      <xdr:row>117</xdr:row>
      <xdr:rowOff>142875</xdr:rowOff>
    </xdr:to>
    <xdr:cxnSp macro="">
      <xdr:nvCxnSpPr>
        <xdr:cNvPr id="5" name="Straight Arrow Connector 4"/>
        <xdr:cNvCxnSpPr/>
      </xdr:nvCxnSpPr>
      <xdr:spPr>
        <a:xfrm flipH="1">
          <a:off x="8724900" y="20231100"/>
          <a:ext cx="9526" cy="1428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46</xdr:row>
      <xdr:rowOff>-1</xdr:rowOff>
    </xdr:from>
    <xdr:to>
      <xdr:col>18</xdr:col>
      <xdr:colOff>107156</xdr:colOff>
      <xdr:row>49</xdr:row>
      <xdr:rowOff>83342</xdr:rowOff>
    </xdr:to>
    <xdr:sp macro="" textlink="">
      <xdr:nvSpPr>
        <xdr:cNvPr id="6" name="Right Brace 5"/>
        <xdr:cNvSpPr/>
      </xdr:nvSpPr>
      <xdr:spPr>
        <a:xfrm rot="10800000">
          <a:off x="7929563" y="8310562"/>
          <a:ext cx="392906" cy="654843"/>
        </a:xfrm>
        <a:prstGeom prst="rightBrace">
          <a:avLst>
            <a:gd name="adj1" fmla="val 8333"/>
            <a:gd name="adj2" fmla="val 8917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59532</xdr:colOff>
      <xdr:row>84</xdr:row>
      <xdr:rowOff>23812</xdr:rowOff>
    </xdr:from>
    <xdr:to>
      <xdr:col>14</xdr:col>
      <xdr:colOff>157162</xdr:colOff>
      <xdr:row>91</xdr:row>
      <xdr:rowOff>0</xdr:rowOff>
    </xdr:to>
    <xdr:sp macro="" textlink="">
      <xdr:nvSpPr>
        <xdr:cNvPr id="7" name="Right Brace 6"/>
        <xdr:cNvSpPr/>
      </xdr:nvSpPr>
      <xdr:spPr>
        <a:xfrm>
          <a:off x="6381751" y="15573375"/>
          <a:ext cx="395286" cy="1309688"/>
        </a:xfrm>
        <a:prstGeom prst="rightBrace">
          <a:avLst>
            <a:gd name="adj1" fmla="val 8333"/>
            <a:gd name="adj2" fmla="val 8553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678656</xdr:colOff>
      <xdr:row>158</xdr:row>
      <xdr:rowOff>1</xdr:rowOff>
    </xdr:from>
    <xdr:to>
      <xdr:col>8</xdr:col>
      <xdr:colOff>107157</xdr:colOff>
      <xdr:row>162</xdr:row>
      <xdr:rowOff>166688</xdr:rowOff>
    </xdr:to>
    <xdr:sp macro="" textlink="">
      <xdr:nvSpPr>
        <xdr:cNvPr id="8" name="Right Brace 7"/>
        <xdr:cNvSpPr/>
      </xdr:nvSpPr>
      <xdr:spPr>
        <a:xfrm>
          <a:off x="2928937" y="30575251"/>
          <a:ext cx="285751" cy="928687"/>
        </a:xfrm>
        <a:prstGeom prst="rightBrace">
          <a:avLst>
            <a:gd name="adj1" fmla="val 8333"/>
            <a:gd name="adj2" fmla="val 90464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.hud.gov/Documents%20and%20Settings/h46460/Desktop/Tax%20Credit%20Pilot%20Wheelbarrow,%20Tax%20Credit%20Manor,%20Lake%20Wobegon,%20beta%20release%201.0,%205-8-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x Credit Report"/>
      <sheetName val="Draw Schedule"/>
      <sheetName val="Comprehensive S&amp;U"/>
      <sheetName val="92264-A Data"/>
      <sheetName val="Output- HUD Summary Report"/>
      <sheetName val="HUD Data Input-Summary Report"/>
      <sheetName val="Instructions"/>
    </sheetNames>
    <sheetDataSet>
      <sheetData sheetId="0" refreshError="1"/>
      <sheetData sheetId="1" refreshError="1"/>
      <sheetData sheetId="2" refreshError="1"/>
      <sheetData sheetId="3">
        <row r="39">
          <cell r="U39" t="str">
            <v>Yes</v>
          </cell>
        </row>
        <row r="40">
          <cell r="U40" t="str">
            <v>No</v>
          </cell>
          <cell r="BJ40" t="str">
            <v>FHA Mortgage</v>
          </cell>
        </row>
        <row r="41">
          <cell r="U41" t="str">
            <v>Partial</v>
          </cell>
          <cell r="BJ41" t="str">
            <v>Non-FHA debt</v>
          </cell>
        </row>
        <row r="42">
          <cell r="BJ42" t="str">
            <v>Grants</v>
          </cell>
        </row>
        <row r="43">
          <cell r="BJ43" t="str">
            <v>Tax Credit Equity</v>
          </cell>
        </row>
        <row r="44">
          <cell r="BJ44" t="str">
            <v>Transferred Reserves</v>
          </cell>
        </row>
        <row r="45">
          <cell r="BJ45" t="str">
            <v>Cash Escrow Transfers</v>
          </cell>
        </row>
        <row r="46">
          <cell r="BJ46" t="str">
            <v>Deferred Developer Fee</v>
          </cell>
        </row>
        <row r="47">
          <cell r="BJ47" t="str">
            <v>LOCs</v>
          </cell>
        </row>
        <row r="48">
          <cell r="BJ48" t="str">
            <v>Owner Cash</v>
          </cell>
        </row>
        <row r="49">
          <cell r="BJ49" t="str">
            <v>Owner Equity</v>
          </cell>
        </row>
        <row r="65">
          <cell r="AW65" t="str">
            <v>,</v>
          </cell>
          <cell r="AX65" t="str">
            <v xml:space="preserve"> </v>
          </cell>
        </row>
        <row r="92">
          <cell r="C92" t="str">
            <v>Non-mortgageable Cost Category</v>
          </cell>
        </row>
        <row r="95">
          <cell r="C95" t="str">
            <v>Non-Critical Repairs,Structures, building(s), construction hard costs</v>
          </cell>
        </row>
        <row r="96">
          <cell r="C96" t="str">
            <v>Land Improvements</v>
          </cell>
        </row>
        <row r="97">
          <cell r="C97" t="str">
            <v>Fees</v>
          </cell>
        </row>
        <row r="98">
          <cell r="C98" t="str">
            <v>Carrying Charges &amp; Financing</v>
          </cell>
        </row>
        <row r="99">
          <cell r="C99" t="str">
            <v>Title &amp; Recording</v>
          </cell>
        </row>
        <row r="100">
          <cell r="C100" t="str">
            <v>Legal Organizational &amp; Audit Fees</v>
          </cell>
        </row>
        <row r="101">
          <cell r="C101" t="str">
            <v>Developer Fee</v>
          </cell>
        </row>
        <row r="102">
          <cell r="C102" t="str">
            <v>Other Costs</v>
          </cell>
          <cell r="AL102" t="str">
            <v>92264A line</v>
          </cell>
        </row>
        <row r="103">
          <cell r="C103" t="str">
            <v>Reserves</v>
          </cell>
          <cell r="AL103" t="str">
            <v>A,1,a</v>
          </cell>
        </row>
        <row r="104">
          <cell r="C104" t="str">
            <v>LOC Funded Reserves</v>
          </cell>
          <cell r="AL104" t="str">
            <v>A,1,b</v>
          </cell>
        </row>
        <row r="105">
          <cell r="C105" t="str">
            <v>Escrows</v>
          </cell>
          <cell r="AL105" t="str">
            <v>A,1,c</v>
          </cell>
        </row>
        <row r="106">
          <cell r="C106" t="str">
            <v>LOC Funded Escrows</v>
          </cell>
          <cell r="AL106" t="str">
            <v>A,2,a,G</v>
          </cell>
        </row>
        <row r="107">
          <cell r="C107" t="str">
            <v>Repayment of Existing Debt</v>
          </cell>
          <cell r="AL107" t="str">
            <v>A,2,a,O</v>
          </cell>
        </row>
        <row r="108">
          <cell r="C108" t="str">
            <v>Acquisition of land/existing bldgs</v>
          </cell>
          <cell r="AL108" t="str">
            <v>A,2,b,P</v>
          </cell>
        </row>
        <row r="109">
          <cell r="C109" t="str">
            <v>Closing &amp; Syndication</v>
          </cell>
          <cell r="AL109" t="str">
            <v>A,2,b,C</v>
          </cell>
        </row>
        <row r="110">
          <cell r="AL110" t="str">
            <v>A,2,c,D</v>
          </cell>
        </row>
        <row r="111">
          <cell r="AL111" t="str">
            <v>A,2,c,O</v>
          </cell>
        </row>
        <row r="112">
          <cell r="AL112" t="str">
            <v>A,3,a</v>
          </cell>
        </row>
        <row r="113">
          <cell r="AL113" t="str">
            <v>A,3,b</v>
          </cell>
        </row>
        <row r="117">
          <cell r="AL117" t="str">
            <v>A,3,c</v>
          </cell>
        </row>
        <row r="118">
          <cell r="AL118" t="str">
            <v>B,1,a</v>
          </cell>
        </row>
        <row r="119">
          <cell r="AL119" t="str">
            <v>B,1,b,(1)</v>
          </cell>
        </row>
        <row r="121">
          <cell r="AL121" t="str">
            <v>B,1,b,(2)</v>
          </cell>
        </row>
        <row r="122">
          <cell r="AL122" t="str">
            <v>B,1,b,(3)</v>
          </cell>
        </row>
        <row r="123">
          <cell r="AL123" t="str">
            <v>B,2</v>
          </cell>
        </row>
        <row r="124">
          <cell r="AL124" t="str">
            <v>B,4,a</v>
          </cell>
        </row>
        <row r="125">
          <cell r="AL125" t="str">
            <v>B,4,b</v>
          </cell>
        </row>
        <row r="126">
          <cell r="AL126" t="str">
            <v>B,8</v>
          </cell>
        </row>
        <row r="127">
          <cell r="AL127" t="str">
            <v>B,10</v>
          </cell>
        </row>
        <row r="128">
          <cell r="AL128" t="str">
            <v>B,11</v>
          </cell>
        </row>
        <row r="129">
          <cell r="AL129" t="str">
            <v>III,a</v>
          </cell>
        </row>
        <row r="130">
          <cell r="AL130" t="str">
            <v>III,b</v>
          </cell>
        </row>
        <row r="131">
          <cell r="AL131" t="str">
            <v>III,c</v>
          </cell>
        </row>
        <row r="132">
          <cell r="AL132" t="str">
            <v>III,d</v>
          </cell>
        </row>
        <row r="133">
          <cell r="AL133" t="str">
            <v>III,e</v>
          </cell>
        </row>
        <row r="134">
          <cell r="AL134" t="str">
            <v>III,f</v>
          </cell>
        </row>
        <row r="135">
          <cell r="AL135" t="str">
            <v>III,g</v>
          </cell>
        </row>
        <row r="136">
          <cell r="AL136" t="str">
            <v>III,h</v>
          </cell>
        </row>
        <row r="137">
          <cell r="AL137" t="str">
            <v>III,i</v>
          </cell>
        </row>
        <row r="138">
          <cell r="AL138" t="str">
            <v>III,j</v>
          </cell>
        </row>
        <row r="139">
          <cell r="AL139" t="str">
            <v>III,k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U194"/>
  <sheetViews>
    <sheetView tabSelected="1" view="pageBreakPreview" zoomScaleNormal="80" zoomScaleSheetLayoutView="100" workbookViewId="0">
      <selection activeCell="K7" sqref="K7"/>
    </sheetView>
  </sheetViews>
  <sheetFormatPr defaultRowHeight="14.4"/>
  <cols>
    <col min="1" max="1" width="2.6640625" style="84" customWidth="1"/>
    <col min="2" max="2" width="3.44140625" style="84" customWidth="1"/>
    <col min="3" max="3" width="3.33203125" style="84" customWidth="1"/>
    <col min="4" max="4" width="2" style="84" customWidth="1"/>
    <col min="5" max="5" width="7" style="84" customWidth="1"/>
    <col min="6" max="6" width="5.5546875" style="84" customWidth="1"/>
    <col min="7" max="7" width="10" style="84" customWidth="1"/>
    <col min="8" max="8" width="12.88671875" style="84" customWidth="1"/>
    <col min="9" max="9" width="12.109375" style="84" customWidth="1"/>
    <col min="10" max="10" width="1.6640625" style="84" customWidth="1"/>
    <col min="11" max="11" width="13.88671875" style="84" customWidth="1"/>
    <col min="12" max="12" width="5" style="84" customWidth="1"/>
    <col min="13" max="13" width="15.33203125" style="84" customWidth="1"/>
    <col min="14" max="14" width="4.44140625" style="84" customWidth="1"/>
    <col min="15" max="15" width="5.33203125" style="84" customWidth="1"/>
    <col min="16" max="16" width="14.33203125" style="84" customWidth="1"/>
    <col min="17" max="17" width="2.5546875" style="84" customWidth="1"/>
    <col min="18" max="18" width="1.6640625" style="84" customWidth="1"/>
    <col min="19" max="19" width="13.33203125" style="84" customWidth="1"/>
    <col min="20" max="20" width="3.88671875" style="84" customWidth="1"/>
    <col min="21" max="21" width="2.6640625" style="84" customWidth="1"/>
    <col min="22" max="22" width="2.6640625" customWidth="1"/>
    <col min="24" max="24" width="11.5546875" bestFit="1" customWidth="1"/>
  </cols>
  <sheetData>
    <row r="1" spans="1:21">
      <c r="A1" s="267"/>
      <c r="B1" s="315" t="s">
        <v>154</v>
      </c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268">
        <v>1</v>
      </c>
    </row>
    <row r="2" spans="1:21">
      <c r="A2" s="3"/>
      <c r="B2" s="303"/>
      <c r="C2" s="301"/>
      <c r="D2" s="301"/>
      <c r="E2" s="301"/>
      <c r="F2" s="301"/>
      <c r="G2" s="301"/>
      <c r="H2" s="301"/>
      <c r="I2" s="301"/>
      <c r="J2" s="301"/>
      <c r="K2" s="302" t="s">
        <v>221</v>
      </c>
      <c r="L2" s="301"/>
      <c r="M2" s="301"/>
      <c r="N2" s="301"/>
      <c r="O2" s="301"/>
      <c r="P2" s="301"/>
      <c r="Q2" s="301"/>
      <c r="R2" s="301"/>
      <c r="S2" s="301"/>
      <c r="T2" s="304"/>
      <c r="U2" s="300"/>
    </row>
    <row r="3" spans="1:21">
      <c r="A3" s="3"/>
      <c r="B3" s="8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4"/>
      <c r="U3" s="89"/>
    </row>
    <row r="4" spans="1:21">
      <c r="A4" s="3"/>
      <c r="B4" s="8"/>
      <c r="C4" s="93"/>
      <c r="D4" s="69"/>
      <c r="E4" s="94"/>
      <c r="F4" s="94" t="s">
        <v>53</v>
      </c>
      <c r="G4" s="307" t="s">
        <v>84</v>
      </c>
      <c r="H4" s="307"/>
      <c r="I4" s="307"/>
      <c r="J4" s="30"/>
      <c r="K4" s="69"/>
      <c r="L4" s="30"/>
      <c r="M4" s="94" t="s">
        <v>51</v>
      </c>
      <c r="N4" s="313" t="s">
        <v>78</v>
      </c>
      <c r="O4" s="314"/>
      <c r="P4" s="314"/>
      <c r="Q4" s="314"/>
      <c r="R4" s="314"/>
      <c r="S4" s="62"/>
      <c r="T4" s="63"/>
      <c r="U4" s="7"/>
    </row>
    <row r="5" spans="1:21">
      <c r="A5" s="3"/>
      <c r="B5" s="8"/>
      <c r="C5" s="93"/>
      <c r="D5" s="62"/>
      <c r="E5" s="94"/>
      <c r="F5" s="94" t="s">
        <v>54</v>
      </c>
      <c r="G5" s="307" t="s">
        <v>85</v>
      </c>
      <c r="H5" s="307"/>
      <c r="I5" s="307"/>
      <c r="J5" s="30"/>
      <c r="K5" s="62"/>
      <c r="L5" s="30"/>
      <c r="M5" s="94" t="s">
        <v>52</v>
      </c>
      <c r="N5" s="313" t="s">
        <v>87</v>
      </c>
      <c r="O5" s="314"/>
      <c r="P5" s="314"/>
      <c r="Q5" s="314"/>
      <c r="R5" s="314"/>
      <c r="S5" s="21"/>
      <c r="T5" s="90"/>
      <c r="U5" s="7"/>
    </row>
    <row r="6" spans="1:21">
      <c r="A6" s="3"/>
      <c r="B6" s="8"/>
      <c r="C6" s="93"/>
      <c r="D6" s="29"/>
      <c r="E6" s="94"/>
      <c r="F6" s="94" t="s">
        <v>55</v>
      </c>
      <c r="G6" s="307" t="s">
        <v>86</v>
      </c>
      <c r="H6" s="307"/>
      <c r="I6" s="307"/>
      <c r="J6" s="30"/>
      <c r="K6" s="30"/>
      <c r="L6" s="30"/>
      <c r="M6" s="94"/>
      <c r="N6" s="30"/>
      <c r="O6" s="30"/>
      <c r="P6" s="20"/>
      <c r="Q6" s="20"/>
      <c r="R6" s="20"/>
      <c r="S6" s="21"/>
      <c r="T6" s="90"/>
      <c r="U6" s="7"/>
    </row>
    <row r="7" spans="1:21">
      <c r="A7" s="3"/>
      <c r="B7" s="49"/>
      <c r="C7" s="15"/>
      <c r="D7" s="16"/>
      <c r="E7" s="17"/>
      <c r="F7" s="17"/>
      <c r="G7" s="17"/>
      <c r="H7" s="17"/>
      <c r="I7" s="17"/>
      <c r="J7" s="17"/>
      <c r="K7" s="17"/>
      <c r="L7" s="17"/>
      <c r="M7" s="18"/>
      <c r="N7" s="17"/>
      <c r="O7" s="17"/>
      <c r="P7" s="19"/>
      <c r="Q7" s="19"/>
      <c r="R7" s="19"/>
      <c r="S7" s="91"/>
      <c r="T7" s="22"/>
      <c r="U7" s="7"/>
    </row>
    <row r="8" spans="1:21">
      <c r="A8" s="3"/>
      <c r="B8" s="160" t="s">
        <v>13</v>
      </c>
      <c r="C8" s="70"/>
      <c r="D8" s="70"/>
      <c r="E8" s="56" t="s">
        <v>72</v>
      </c>
      <c r="F8" s="70"/>
      <c r="G8" s="70"/>
      <c r="H8" s="70"/>
      <c r="I8" s="156">
        <f>+MIN(S10,S12,S14,S16)</f>
        <v>4800000</v>
      </c>
      <c r="J8" s="70"/>
      <c r="K8" s="70"/>
      <c r="L8" s="70"/>
      <c r="M8" s="70"/>
      <c r="N8" s="125"/>
      <c r="O8" s="125" t="str">
        <f>+IF(I8=S10,"Requested Amount", IF(I8=S12,"Original Principal Amount",IF(I8=S71,"Debt Service","Cost to Refinance")))</f>
        <v>Requested Amount</v>
      </c>
      <c r="P8" s="126" t="str">
        <f>+IF(I8=S12,"(= Original Principal Amount)",IF(I8=S14,"= Crit. 5., Debt Service Mtg",IF(I8=S16,"= Crit. 10., Cost to Refinance Mtg","= Lower Mtg by Choice")))</f>
        <v>= Lower Mtg by Choice</v>
      </c>
      <c r="Q8" s="23"/>
      <c r="R8" s="23"/>
      <c r="T8" s="155"/>
      <c r="U8" s="7"/>
    </row>
    <row r="9" spans="1:21">
      <c r="A9" s="3"/>
      <c r="B9" s="4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157"/>
      <c r="O9" s="158"/>
      <c r="P9" s="158"/>
      <c r="Q9" s="13"/>
      <c r="R9" s="13"/>
      <c r="S9" s="97"/>
      <c r="T9" s="25"/>
      <c r="U9" s="7"/>
    </row>
    <row r="10" spans="1:21">
      <c r="A10" s="3"/>
      <c r="B10" s="8"/>
      <c r="C10" s="129" t="s">
        <v>14</v>
      </c>
      <c r="D10" s="62" t="s">
        <v>15</v>
      </c>
      <c r="E10" s="62"/>
      <c r="F10" s="30"/>
      <c r="G10" s="30"/>
      <c r="H10" s="30"/>
      <c r="I10" s="30"/>
      <c r="J10" s="62"/>
      <c r="K10" s="62"/>
      <c r="L10" s="62"/>
      <c r="M10" s="62"/>
      <c r="N10" s="62"/>
      <c r="O10" s="62"/>
      <c r="P10" s="252" t="s">
        <v>74</v>
      </c>
      <c r="Q10" s="24"/>
      <c r="R10" s="24"/>
      <c r="S10" s="85">
        <v>4800000</v>
      </c>
      <c r="T10" s="27"/>
      <c r="U10" s="7"/>
    </row>
    <row r="11" spans="1:21" ht="9" customHeight="1">
      <c r="A11" s="3"/>
      <c r="B11" s="8"/>
      <c r="C11" s="62"/>
      <c r="D11" s="62"/>
      <c r="E11" s="62"/>
      <c r="F11" s="30"/>
      <c r="G11" s="30"/>
      <c r="H11" s="30"/>
      <c r="I11" s="42"/>
      <c r="J11" s="24"/>
      <c r="K11" s="24"/>
      <c r="L11" s="24"/>
      <c r="M11" s="24"/>
      <c r="N11" s="24"/>
      <c r="O11" s="24"/>
      <c r="P11" s="184" t="s">
        <v>93</v>
      </c>
      <c r="Q11" s="24"/>
      <c r="R11" s="24"/>
      <c r="S11" s="69"/>
      <c r="T11" s="27"/>
      <c r="U11" s="7"/>
    </row>
    <row r="12" spans="1:21">
      <c r="A12" s="3"/>
      <c r="B12" s="8"/>
      <c r="C12" s="62" t="s">
        <v>16</v>
      </c>
      <c r="D12" s="62" t="s">
        <v>50</v>
      </c>
      <c r="E12" s="62"/>
      <c r="F12" s="95"/>
      <c r="G12" s="95"/>
      <c r="H12" s="95"/>
      <c r="I12" s="24"/>
      <c r="J12" s="24"/>
      <c r="K12" s="24"/>
      <c r="L12" s="24"/>
      <c r="M12" s="24"/>
      <c r="N12" s="24"/>
      <c r="O12" s="24"/>
      <c r="P12" s="185">
        <f>+S12-$S$10</f>
        <v>200000</v>
      </c>
      <c r="Q12" s="24"/>
      <c r="R12" s="24"/>
      <c r="S12" s="85">
        <v>5000000</v>
      </c>
      <c r="T12" s="259" t="str">
        <f>+IF(S12=MIN(S12,S14,S16),"Lowest",IF(OR(S14&gt;=S12,S16&gt;=S12),"Middle","Highest"))</f>
        <v>Middle</v>
      </c>
      <c r="U12" s="7"/>
    </row>
    <row r="13" spans="1:21" ht="7.5" customHeight="1">
      <c r="A13" s="3"/>
      <c r="B13" s="8"/>
      <c r="C13" s="62"/>
      <c r="D13" s="62"/>
      <c r="E13" s="62"/>
      <c r="F13" s="95"/>
      <c r="G13" s="95"/>
      <c r="H13" s="95"/>
      <c r="I13" s="24"/>
      <c r="J13" s="24"/>
      <c r="K13" s="24"/>
      <c r="L13" s="24"/>
      <c r="M13" s="24"/>
      <c r="N13" s="24"/>
      <c r="O13" s="24"/>
      <c r="P13" s="185"/>
      <c r="Q13" s="24"/>
      <c r="R13" s="24"/>
      <c r="S13" s="99"/>
      <c r="T13" s="259"/>
      <c r="U13" s="7"/>
    </row>
    <row r="14" spans="1:21">
      <c r="A14" s="3"/>
      <c r="B14" s="8"/>
      <c r="C14" s="129" t="s">
        <v>168</v>
      </c>
      <c r="D14" s="10" t="s">
        <v>222</v>
      </c>
      <c r="E14" s="62"/>
      <c r="F14" s="30"/>
      <c r="G14" s="30"/>
      <c r="H14" s="30"/>
      <c r="I14" s="30"/>
      <c r="J14" s="24"/>
      <c r="K14" s="24"/>
      <c r="L14" s="24"/>
      <c r="M14" s="24"/>
      <c r="N14" s="24"/>
      <c r="O14" s="24"/>
      <c r="P14" s="185">
        <f>+S14-$S$10</f>
        <v>1255700</v>
      </c>
      <c r="Q14" s="24"/>
      <c r="R14" s="24"/>
      <c r="S14" s="174">
        <f>+S71</f>
        <v>6055700</v>
      </c>
      <c r="T14" s="259" t="str">
        <f>+IF(S14=MIN(S12,S14,S16),"Lowest",IF(OR(S12&gt;=S14,S16&gt;=S14),"Middle","Highest"))</f>
        <v>Highest</v>
      </c>
      <c r="U14" s="7"/>
    </row>
    <row r="15" spans="1:21" ht="8.25" customHeight="1">
      <c r="A15" s="3"/>
      <c r="B15" s="8"/>
      <c r="C15" s="62"/>
      <c r="D15" s="62"/>
      <c r="E15" s="62"/>
      <c r="F15" s="95"/>
      <c r="G15" s="95"/>
      <c r="H15" s="95"/>
      <c r="I15" s="24"/>
      <c r="J15" s="24"/>
      <c r="K15" s="24"/>
      <c r="L15" s="24"/>
      <c r="M15" s="24"/>
      <c r="N15" s="24"/>
      <c r="O15" s="24"/>
      <c r="P15" s="185"/>
      <c r="Q15" s="24"/>
      <c r="R15" s="24"/>
      <c r="S15" s="99"/>
      <c r="T15" s="259"/>
      <c r="U15" s="7"/>
    </row>
    <row r="16" spans="1:21">
      <c r="A16" s="3"/>
      <c r="B16" s="8"/>
      <c r="C16" s="129" t="s">
        <v>169</v>
      </c>
      <c r="D16" s="10" t="s">
        <v>223</v>
      </c>
      <c r="E16" s="62"/>
      <c r="F16" s="95"/>
      <c r="G16" s="95"/>
      <c r="H16" s="95"/>
      <c r="I16" s="24"/>
      <c r="J16" s="24"/>
      <c r="K16" s="24"/>
      <c r="L16" s="24"/>
      <c r="M16" s="24"/>
      <c r="N16" s="24"/>
      <c r="O16" s="24"/>
      <c r="P16" s="185">
        <f>+S16-$S$10</f>
        <v>1500</v>
      </c>
      <c r="Q16" s="24"/>
      <c r="R16" s="24"/>
      <c r="S16" s="174">
        <f>+S119</f>
        <v>4801500</v>
      </c>
      <c r="T16" s="259" t="str">
        <f>+IF(S16=MIN(S12,S14,S16),"Lowest",IF(OR(S12&gt;=S16,S14&gt;=S16),"Middle","Highest"))</f>
        <v>Lowest</v>
      </c>
      <c r="U16" s="7"/>
    </row>
    <row r="17" spans="1:21" ht="9.75" customHeight="1">
      <c r="A17" s="3"/>
      <c r="B17" s="67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159"/>
      <c r="T17" s="76"/>
      <c r="U17" s="7"/>
    </row>
    <row r="18" spans="1:21">
      <c r="A18" s="3"/>
      <c r="B18" s="12" t="s">
        <v>58</v>
      </c>
      <c r="C18" s="69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7"/>
    </row>
    <row r="19" spans="1:21">
      <c r="A19" s="3"/>
      <c r="B19" s="8"/>
      <c r="C19" s="10"/>
      <c r="D19" s="10"/>
      <c r="E19" s="121" t="s">
        <v>104</v>
      </c>
      <c r="F19" s="62"/>
      <c r="G19" s="62"/>
      <c r="H19" s="62"/>
      <c r="I19" s="62"/>
      <c r="J19" s="62"/>
      <c r="K19" s="69"/>
      <c r="L19" s="10"/>
      <c r="M19" s="10"/>
      <c r="N19" s="10"/>
      <c r="O19" s="10"/>
      <c r="P19" s="10"/>
      <c r="Q19" s="10"/>
      <c r="R19" s="10"/>
      <c r="S19" s="10"/>
      <c r="T19" s="11"/>
      <c r="U19" s="7"/>
    </row>
    <row r="20" spans="1:21">
      <c r="A20" s="3"/>
      <c r="B20" s="8"/>
      <c r="C20" s="10"/>
      <c r="D20" s="10"/>
      <c r="E20" s="10" t="str">
        <f>+E78</f>
        <v>Current Unpaid Principal Balance of Existing Debt</v>
      </c>
      <c r="F20" s="10"/>
      <c r="G20" s="10"/>
      <c r="H20" s="10"/>
      <c r="I20" s="10"/>
      <c r="J20" s="10"/>
      <c r="K20" s="122">
        <f>+K78</f>
        <v>4570637.6481840024</v>
      </c>
      <c r="L20" s="10"/>
      <c r="M20" s="10"/>
      <c r="N20" s="10"/>
      <c r="O20" s="10"/>
      <c r="P20" s="10"/>
      <c r="Q20" s="10"/>
      <c r="R20" s="10"/>
      <c r="S20" s="10"/>
      <c r="T20" s="11"/>
      <c r="U20" s="7"/>
    </row>
    <row r="21" spans="1:21">
      <c r="A21" s="3"/>
      <c r="B21" s="8"/>
      <c r="C21" s="10"/>
      <c r="D21" s="10"/>
      <c r="E21" s="10" t="str">
        <f>+E79</f>
        <v>Total Prepayment Penalty Costs</v>
      </c>
      <c r="F21" s="10"/>
      <c r="G21" s="10"/>
      <c r="H21" s="10"/>
      <c r="I21" s="10"/>
      <c r="J21" s="10"/>
      <c r="K21" s="122">
        <f>+K79</f>
        <v>137119.12944552006</v>
      </c>
      <c r="L21" s="10"/>
      <c r="M21" s="10"/>
      <c r="N21" s="10"/>
      <c r="O21" s="10"/>
      <c r="P21" s="10"/>
      <c r="Q21" s="10"/>
      <c r="R21" s="10"/>
      <c r="S21" s="10"/>
      <c r="T21" s="11"/>
      <c r="U21" s="7"/>
    </row>
    <row r="22" spans="1:21">
      <c r="A22" s="3"/>
      <c r="B22" s="8"/>
      <c r="C22" s="10"/>
      <c r="D22" s="10"/>
      <c r="E22" s="10" t="str">
        <f>+E83</f>
        <v>HUD approved debt to refinance via the A7</v>
      </c>
      <c r="F22" s="10"/>
      <c r="G22" s="10"/>
      <c r="H22" s="10"/>
      <c r="I22" s="10"/>
      <c r="J22" s="10"/>
      <c r="K22" s="122">
        <f>+K83</f>
        <v>0</v>
      </c>
      <c r="L22" s="10"/>
      <c r="M22" s="10"/>
      <c r="N22" s="10"/>
      <c r="O22" s="10"/>
      <c r="P22" s="10"/>
      <c r="Q22" s="10"/>
      <c r="R22" s="10"/>
      <c r="S22" s="10"/>
      <c r="T22" s="11"/>
      <c r="U22" s="7"/>
    </row>
    <row r="23" spans="1:21">
      <c r="A23" s="3"/>
      <c r="B23" s="8"/>
      <c r="C23" s="10"/>
      <c r="D23" s="10"/>
      <c r="E23" s="10" t="str">
        <f>+E85</f>
        <v>Critical repairs</v>
      </c>
      <c r="F23" s="10"/>
      <c r="G23" s="10"/>
      <c r="H23" s="10"/>
      <c r="I23" s="10"/>
      <c r="J23" s="10"/>
      <c r="K23" s="122">
        <f>+M85</f>
        <v>25000</v>
      </c>
      <c r="L23" s="10"/>
      <c r="M23" s="10"/>
      <c r="N23" s="10"/>
      <c r="O23" s="10"/>
      <c r="P23" s="10"/>
      <c r="Q23" s="10"/>
      <c r="R23" s="10"/>
      <c r="S23" s="10"/>
      <c r="T23" s="11"/>
      <c r="U23" s="7"/>
    </row>
    <row r="24" spans="1:21">
      <c r="A24" s="3"/>
      <c r="B24" s="8"/>
      <c r="C24" s="10"/>
      <c r="D24" s="10"/>
      <c r="E24" s="10" t="str">
        <f>+E86</f>
        <v>Non critical repairs</v>
      </c>
      <c r="F24" s="10"/>
      <c r="G24" s="10"/>
      <c r="H24" s="10"/>
      <c r="I24" s="10"/>
      <c r="J24" s="10"/>
      <c r="K24" s="122">
        <f>+M86</f>
        <v>10000</v>
      </c>
      <c r="L24" s="10"/>
      <c r="M24" s="10"/>
      <c r="N24" s="10"/>
      <c r="O24" s="10"/>
      <c r="P24" s="10"/>
      <c r="Q24" s="10"/>
      <c r="R24" s="10"/>
      <c r="S24" s="10"/>
      <c r="T24" s="11"/>
      <c r="U24" s="7"/>
    </row>
    <row r="25" spans="1:21">
      <c r="A25" s="3"/>
      <c r="B25" s="8"/>
      <c r="C25" s="10"/>
      <c r="D25" s="10"/>
      <c r="E25" s="10" t="str">
        <f>+E87</f>
        <v>Initial deposit to Reserve for Replacements</v>
      </c>
      <c r="F25" s="62"/>
      <c r="G25" s="62"/>
      <c r="H25" s="62"/>
      <c r="I25" s="62"/>
      <c r="J25" s="62"/>
      <c r="K25" s="122">
        <f>+M87+H81</f>
        <v>12000</v>
      </c>
      <c r="L25" s="10"/>
      <c r="M25" s="10"/>
      <c r="N25" s="10"/>
      <c r="O25" s="10"/>
      <c r="P25" s="10"/>
      <c r="Q25" s="10"/>
      <c r="R25" s="10"/>
      <c r="S25" s="10"/>
      <c r="T25" s="11"/>
      <c r="U25" s="7"/>
    </row>
    <row r="26" spans="1:21">
      <c r="A26" s="3"/>
      <c r="B26" s="8"/>
      <c r="C26" s="10"/>
      <c r="D26" s="10"/>
      <c r="E26" s="10" t="str">
        <f>+E88</f>
        <v>Fees</v>
      </c>
      <c r="F26" s="10"/>
      <c r="G26" s="10"/>
      <c r="H26" s="10"/>
      <c r="I26" s="10"/>
      <c r="J26" s="10"/>
      <c r="K26" s="122">
        <f>+M88</f>
        <v>0</v>
      </c>
      <c r="L26" s="10"/>
      <c r="M26" s="10"/>
      <c r="N26" s="10"/>
      <c r="O26" s="10"/>
      <c r="P26" s="10"/>
      <c r="Q26" s="10"/>
      <c r="R26" s="10"/>
      <c r="S26" s="10"/>
      <c r="T26" s="11"/>
      <c r="U26" s="7"/>
    </row>
    <row r="27" spans="1:21">
      <c r="A27" s="3"/>
      <c r="B27" s="8"/>
      <c r="C27" s="10"/>
      <c r="D27" s="10"/>
      <c r="E27" s="10" t="s">
        <v>99</v>
      </c>
      <c r="F27" s="10"/>
      <c r="G27" s="10"/>
      <c r="H27" s="10"/>
      <c r="I27" s="10"/>
      <c r="J27" s="10"/>
      <c r="K27" s="122">
        <f>+S163</f>
        <v>112800</v>
      </c>
      <c r="L27" s="10"/>
      <c r="M27" s="10"/>
      <c r="N27" s="10"/>
      <c r="O27" s="10"/>
      <c r="P27" s="10"/>
      <c r="Q27" s="10"/>
      <c r="R27" s="10"/>
      <c r="S27" s="10"/>
      <c r="T27" s="11"/>
      <c r="U27" s="7"/>
    </row>
    <row r="28" spans="1:21">
      <c r="A28" s="3"/>
      <c r="B28" s="8"/>
      <c r="C28" s="10"/>
      <c r="D28" s="10"/>
      <c r="E28" s="10" t="str">
        <f>+E89</f>
        <v>Title &amp; Recording</v>
      </c>
      <c r="F28" s="10"/>
      <c r="G28" s="10"/>
      <c r="H28" s="10"/>
      <c r="I28" s="10"/>
      <c r="J28" s="10"/>
      <c r="K28" s="122">
        <f>+M89</f>
        <v>19000</v>
      </c>
      <c r="L28" s="10"/>
      <c r="M28" s="10"/>
      <c r="N28" s="10"/>
      <c r="O28" s="10"/>
      <c r="P28" s="10"/>
      <c r="Q28" s="10"/>
      <c r="R28" s="10"/>
      <c r="S28" s="10"/>
      <c r="T28" s="11"/>
      <c r="U28" s="7"/>
    </row>
    <row r="29" spans="1:21">
      <c r="A29" s="3"/>
      <c r="B29" s="8"/>
      <c r="C29" s="10"/>
      <c r="D29" s="10"/>
      <c r="E29" s="10" t="str">
        <f>+E90</f>
        <v>Legal &amp; organizational</v>
      </c>
      <c r="F29" s="10"/>
      <c r="G29" s="10"/>
      <c r="H29" s="10"/>
      <c r="I29" s="10"/>
      <c r="J29" s="10"/>
      <c r="K29" s="189">
        <f>+M90</f>
        <v>4000</v>
      </c>
      <c r="L29" s="10"/>
      <c r="M29" s="10"/>
      <c r="N29" s="10"/>
      <c r="O29" s="10"/>
      <c r="P29" s="122"/>
      <c r="Q29" s="10"/>
      <c r="R29" s="10"/>
      <c r="S29" s="10"/>
      <c r="T29" s="11"/>
      <c r="U29" s="7"/>
    </row>
    <row r="30" spans="1:21" ht="16.2">
      <c r="A30" s="3"/>
      <c r="B30" s="8"/>
      <c r="C30" s="10"/>
      <c r="D30" s="10"/>
      <c r="E30" s="10" t="str">
        <f>+E91</f>
        <v>Other permitted costs</v>
      </c>
      <c r="F30" s="10"/>
      <c r="G30" s="10"/>
      <c r="H30" s="10"/>
      <c r="I30" s="10"/>
      <c r="J30" s="10"/>
      <c r="K30" s="178">
        <f>+M91</f>
        <v>0</v>
      </c>
      <c r="L30" s="10"/>
      <c r="M30" s="10"/>
      <c r="N30" s="10"/>
      <c r="O30" s="10"/>
      <c r="P30" s="122"/>
      <c r="Q30" s="10"/>
      <c r="R30" s="10"/>
      <c r="S30" s="10"/>
      <c r="T30" s="11"/>
      <c r="U30" s="7"/>
    </row>
    <row r="31" spans="1:21">
      <c r="A31" s="3"/>
      <c r="B31" s="8"/>
      <c r="C31" s="10"/>
      <c r="D31" s="10"/>
      <c r="E31" s="10" t="s">
        <v>105</v>
      </c>
      <c r="F31" s="10"/>
      <c r="G31" s="10"/>
      <c r="H31" s="10"/>
      <c r="I31" s="10"/>
      <c r="J31" s="10"/>
      <c r="K31" s="193">
        <f>SUM(K20:K30)</f>
        <v>4890556.7776295226</v>
      </c>
      <c r="L31" s="10"/>
      <c r="M31" s="10"/>
      <c r="N31" s="10"/>
      <c r="O31" s="10"/>
      <c r="P31" s="122"/>
      <c r="Q31" s="10"/>
      <c r="R31" s="10"/>
      <c r="S31" s="10"/>
      <c r="T31" s="11"/>
      <c r="U31" s="7"/>
    </row>
    <row r="32" spans="1:21">
      <c r="A32" s="3"/>
      <c r="B32" s="8"/>
      <c r="C32" s="10"/>
      <c r="D32" s="10"/>
      <c r="E32" s="10"/>
      <c r="F32" s="10"/>
      <c r="G32" s="10"/>
      <c r="H32" s="10"/>
      <c r="I32" s="10"/>
      <c r="J32" s="10"/>
      <c r="K32" s="193"/>
      <c r="L32" s="10"/>
      <c r="M32" s="10"/>
      <c r="N32" s="10"/>
      <c r="O32" s="10"/>
      <c r="P32" s="122"/>
      <c r="Q32" s="10"/>
      <c r="R32" s="10"/>
      <c r="S32" s="10"/>
      <c r="T32" s="11"/>
      <c r="U32" s="7"/>
    </row>
    <row r="33" spans="1:21">
      <c r="A33" s="3"/>
      <c r="B33" s="8"/>
      <c r="C33" s="10"/>
      <c r="D33" s="10"/>
      <c r="E33" s="123" t="s">
        <v>92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1"/>
      <c r="U33" s="7"/>
    </row>
    <row r="34" spans="1:21">
      <c r="A34" s="3"/>
      <c r="B34" s="8"/>
      <c r="C34" s="10"/>
      <c r="D34" s="10"/>
      <c r="E34" s="10" t="s">
        <v>61</v>
      </c>
      <c r="F34" s="10"/>
      <c r="G34" s="10"/>
      <c r="H34" s="10"/>
      <c r="I34" s="10"/>
      <c r="J34" s="10"/>
      <c r="K34" s="122">
        <f>+I8</f>
        <v>4800000</v>
      </c>
      <c r="L34" s="10"/>
      <c r="M34" s="62"/>
      <c r="N34" s="10"/>
      <c r="O34" s="10"/>
      <c r="P34" s="69"/>
      <c r="Q34" s="10"/>
      <c r="R34" s="10"/>
      <c r="S34" s="10"/>
      <c r="T34" s="11"/>
      <c r="U34" s="7"/>
    </row>
    <row r="35" spans="1:21">
      <c r="A35" s="3"/>
      <c r="B35" s="8"/>
      <c r="C35" s="10"/>
      <c r="D35" s="10"/>
      <c r="E35" s="122" t="str">
        <f>+E105</f>
        <v>Trade Discount</v>
      </c>
      <c r="F35" s="10"/>
      <c r="G35" s="10"/>
      <c r="H35" s="10"/>
      <c r="I35" s="10"/>
      <c r="J35" s="10"/>
      <c r="K35" s="122">
        <f>+K105</f>
        <v>0</v>
      </c>
      <c r="L35" s="10"/>
      <c r="M35" s="62"/>
      <c r="N35" s="10"/>
      <c r="O35" s="10"/>
      <c r="P35" s="124" t="s">
        <v>63</v>
      </c>
      <c r="Q35" s="10"/>
      <c r="R35" s="10"/>
      <c r="S35" s="10"/>
      <c r="T35" s="11"/>
      <c r="U35" s="7"/>
    </row>
    <row r="36" spans="1:21">
      <c r="A36" s="3"/>
      <c r="B36" s="8"/>
      <c r="C36" s="10"/>
      <c r="D36" s="10"/>
      <c r="E36" s="122" t="s">
        <v>205</v>
      </c>
      <c r="F36" s="10"/>
      <c r="G36" s="10"/>
      <c r="H36" s="10"/>
      <c r="I36" s="10"/>
      <c r="J36" s="10"/>
      <c r="K36" s="122">
        <f>+H82</f>
        <v>48000</v>
      </c>
      <c r="L36" s="10"/>
      <c r="M36" s="62"/>
      <c r="N36" s="10"/>
      <c r="O36" s="10"/>
      <c r="P36" s="122">
        <f>+K34+K35+K36</f>
        <v>4848000</v>
      </c>
      <c r="Q36" s="10"/>
      <c r="R36" s="10"/>
      <c r="S36" s="10"/>
      <c r="T36" s="11"/>
      <c r="U36" s="7"/>
    </row>
    <row r="37" spans="1:21">
      <c r="A37" s="3"/>
      <c r="B37" s="8"/>
      <c r="C37" s="10"/>
      <c r="D37" s="10"/>
      <c r="E37" s="10" t="str">
        <f>+E94</f>
        <v>Grants &amp; other sources to pay costs, e.g., debt</v>
      </c>
      <c r="F37" s="10"/>
      <c r="G37" s="10"/>
      <c r="H37" s="10"/>
      <c r="I37" s="10"/>
      <c r="J37" s="10"/>
      <c r="K37" s="122">
        <f>+K94</f>
        <v>0</v>
      </c>
      <c r="L37" s="10"/>
      <c r="M37" s="10"/>
      <c r="N37" s="10"/>
      <c r="O37" s="10"/>
      <c r="P37" s="10"/>
      <c r="Q37" s="10"/>
      <c r="R37" s="10"/>
      <c r="S37" s="10"/>
      <c r="T37" s="11"/>
      <c r="U37" s="7"/>
    </row>
    <row r="38" spans="1:21">
      <c r="A38" s="3"/>
      <c r="B38" s="8"/>
      <c r="C38" s="10"/>
      <c r="D38" s="10"/>
      <c r="E38" s="10" t="str">
        <f>+E95</f>
        <v>Purchased and Transferred Reserves</v>
      </c>
      <c r="F38" s="10"/>
      <c r="G38" s="10"/>
      <c r="H38" s="10"/>
      <c r="I38" s="10"/>
      <c r="J38" s="10"/>
      <c r="K38" s="120">
        <f>+K95</f>
        <v>41000</v>
      </c>
      <c r="L38" s="10"/>
      <c r="M38" s="10"/>
      <c r="N38" s="10"/>
      <c r="O38" s="10"/>
      <c r="P38" s="10"/>
      <c r="Q38" s="10"/>
      <c r="R38" s="10"/>
      <c r="S38" s="10"/>
      <c r="T38" s="11"/>
      <c r="U38" s="7"/>
    </row>
    <row r="39" spans="1:21">
      <c r="A39" s="3"/>
      <c r="B39" s="8"/>
      <c r="C39" s="10"/>
      <c r="D39" s="10"/>
      <c r="E39" s="10" t="s">
        <v>106</v>
      </c>
      <c r="F39" s="10"/>
      <c r="G39" s="10"/>
      <c r="H39" s="10"/>
      <c r="I39" s="10"/>
      <c r="J39" s="10"/>
      <c r="K39" s="193">
        <f>SUM(K34:K38)</f>
        <v>4889000</v>
      </c>
      <c r="L39" s="10"/>
      <c r="M39" s="10"/>
      <c r="N39" s="10"/>
      <c r="O39" s="10"/>
      <c r="P39" s="10"/>
      <c r="Q39" s="10"/>
      <c r="R39" s="10"/>
      <c r="S39" s="10"/>
      <c r="T39" s="11"/>
      <c r="U39" s="7"/>
    </row>
    <row r="40" spans="1:21">
      <c r="A40" s="3"/>
      <c r="B40" s="8"/>
      <c r="C40" s="10"/>
      <c r="D40" s="10"/>
      <c r="E40" s="10"/>
      <c r="F40" s="10"/>
      <c r="G40" s="10"/>
      <c r="H40" s="10"/>
      <c r="I40" s="10"/>
      <c r="J40" s="10"/>
      <c r="K40" s="193"/>
      <c r="L40" s="10"/>
      <c r="M40" s="10"/>
      <c r="N40" s="10"/>
      <c r="O40" s="10"/>
      <c r="P40" s="10"/>
      <c r="Q40" s="10"/>
      <c r="R40" s="10"/>
      <c r="S40" s="10"/>
      <c r="T40" s="11"/>
      <c r="U40" s="7"/>
    </row>
    <row r="41" spans="1:21">
      <c r="A41" s="3"/>
      <c r="B41" s="8"/>
      <c r="C41" s="10"/>
      <c r="D41" s="10"/>
      <c r="E41" s="123" t="s">
        <v>65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1"/>
      <c r="U41" s="7"/>
    </row>
    <row r="42" spans="1:21">
      <c r="A42" s="3"/>
      <c r="B42" s="8"/>
      <c r="C42" s="62"/>
      <c r="D42" s="62"/>
      <c r="E42" s="10" t="s">
        <v>120</v>
      </c>
      <c r="F42" s="72"/>
      <c r="G42" s="72"/>
      <c r="H42" s="72"/>
      <c r="I42" s="10"/>
      <c r="J42" s="10"/>
      <c r="K42" s="193">
        <f>+K31-K39</f>
        <v>1556.7776295226067</v>
      </c>
      <c r="L42" s="10"/>
      <c r="M42" s="10"/>
      <c r="N42" s="10"/>
      <c r="O42" s="10"/>
      <c r="P42" s="10"/>
      <c r="Q42" s="10"/>
      <c r="R42" s="10"/>
      <c r="S42" s="10"/>
      <c r="T42" s="11"/>
      <c r="U42" s="7"/>
    </row>
    <row r="43" spans="1:21">
      <c r="A43" s="3"/>
      <c r="B43" s="8"/>
      <c r="C43" s="62"/>
      <c r="D43" s="62"/>
      <c r="E43" s="71" t="s">
        <v>121</v>
      </c>
      <c r="F43" s="72"/>
      <c r="G43" s="72"/>
      <c r="H43" s="72"/>
      <c r="I43" s="10"/>
      <c r="J43" s="10"/>
      <c r="K43" s="122">
        <f>+P87</f>
        <v>2000</v>
      </c>
      <c r="L43" s="10"/>
      <c r="M43" s="10"/>
      <c r="N43" s="10"/>
      <c r="O43" s="10"/>
      <c r="P43" s="10"/>
      <c r="Q43" s="10"/>
      <c r="R43" s="10"/>
      <c r="S43" s="10"/>
      <c r="T43" s="11"/>
      <c r="U43" s="7"/>
    </row>
    <row r="44" spans="1:21" ht="15" thickBot="1">
      <c r="A44" s="3"/>
      <c r="B44" s="8"/>
      <c r="C44" s="62"/>
      <c r="D44" s="62"/>
      <c r="E44" s="71" t="s">
        <v>122</v>
      </c>
      <c r="F44" s="72"/>
      <c r="G44" s="72"/>
      <c r="H44" s="72"/>
      <c r="I44" s="10"/>
      <c r="J44" s="10"/>
      <c r="K44" s="194">
        <f>+K42+K43</f>
        <v>3556.7776295226067</v>
      </c>
      <c r="L44" s="10"/>
      <c r="M44" s="10"/>
      <c r="N44" s="10"/>
      <c r="O44" s="10"/>
      <c r="P44" s="10"/>
      <c r="Q44" s="10"/>
      <c r="R44" s="10"/>
      <c r="S44" s="10"/>
      <c r="T44" s="11"/>
      <c r="U44" s="7"/>
    </row>
    <row r="45" spans="1:21" ht="15.6" thickTop="1" thickBot="1">
      <c r="A45" s="3"/>
      <c r="B45" s="67"/>
      <c r="C45" s="68"/>
      <c r="D45" s="68"/>
      <c r="E45" s="68"/>
      <c r="F45" s="68"/>
      <c r="G45" s="68"/>
      <c r="H45" s="68"/>
      <c r="I45" s="68"/>
      <c r="J45" s="68"/>
      <c r="K45" s="68"/>
      <c r="L45" s="10"/>
      <c r="M45" s="10"/>
      <c r="N45" s="10"/>
      <c r="O45" s="10"/>
      <c r="P45" s="10"/>
      <c r="Q45" s="10"/>
      <c r="R45" s="73"/>
      <c r="S45" s="73"/>
      <c r="T45" s="74"/>
      <c r="U45" s="7"/>
    </row>
    <row r="46" spans="1:21">
      <c r="A46" s="78"/>
      <c r="B46" s="64" t="s">
        <v>144</v>
      </c>
      <c r="C46" s="127" t="s">
        <v>170</v>
      </c>
      <c r="D46" s="65"/>
      <c r="E46" s="75"/>
      <c r="F46" s="75"/>
      <c r="G46" s="75"/>
      <c r="H46" s="75"/>
      <c r="I46" s="65"/>
      <c r="J46" s="65"/>
      <c r="K46" s="65"/>
      <c r="L46" s="65"/>
      <c r="M46" s="183"/>
      <c r="N46" s="65"/>
      <c r="O46" s="65"/>
      <c r="P46" s="65"/>
      <c r="Q46" s="65"/>
      <c r="R46" s="65"/>
      <c r="S46" s="65"/>
      <c r="T46" s="66"/>
      <c r="U46" s="80"/>
    </row>
    <row r="47" spans="1:21">
      <c r="A47" s="78"/>
      <c r="B47" s="12"/>
      <c r="C47" s="62"/>
      <c r="D47" s="62"/>
      <c r="E47" s="62"/>
      <c r="F47" s="62"/>
      <c r="G47" s="195"/>
      <c r="H47" s="310" t="s">
        <v>81</v>
      </c>
      <c r="I47" s="310"/>
      <c r="J47" s="62"/>
      <c r="K47" s="62"/>
      <c r="L47" s="62"/>
      <c r="M47" s="62"/>
      <c r="N47" s="197" t="s">
        <v>189</v>
      </c>
      <c r="O47" s="62"/>
      <c r="P47" s="196">
        <f>+K79+S163+P166+P167</f>
        <v>272919.12944552006</v>
      </c>
      <c r="Q47" s="62"/>
      <c r="R47" s="62"/>
      <c r="S47" s="221" t="s">
        <v>191</v>
      </c>
      <c r="T47" s="63"/>
      <c r="U47" s="80"/>
    </row>
    <row r="48" spans="1:21">
      <c r="A48" s="78"/>
      <c r="B48" s="12"/>
      <c r="C48" s="9"/>
      <c r="D48" s="62"/>
      <c r="E48" s="62"/>
      <c r="F48" s="62"/>
      <c r="G48" s="195" t="str">
        <f>+N74</f>
        <v>Refi'd Debt***</v>
      </c>
      <c r="H48" s="311">
        <f>+PMT(N76/12,S78,-K78)+P83</f>
        <v>26442.642117154897</v>
      </c>
      <c r="I48" s="311"/>
      <c r="J48" s="62"/>
      <c r="K48" s="62"/>
      <c r="L48" s="62"/>
      <c r="M48" s="62"/>
      <c r="N48" s="202" t="s">
        <v>114</v>
      </c>
      <c r="O48" s="62"/>
      <c r="P48" s="196">
        <f>+H52</f>
        <v>53564.763989484287</v>
      </c>
      <c r="Q48" s="62"/>
      <c r="R48" s="62"/>
      <c r="S48" s="221" t="s">
        <v>192</v>
      </c>
      <c r="T48" s="63"/>
      <c r="U48" s="80"/>
    </row>
    <row r="49" spans="1:21">
      <c r="A49" s="78"/>
      <c r="B49" s="12"/>
      <c r="C49" s="9"/>
      <c r="D49" s="62"/>
      <c r="E49" s="62"/>
      <c r="F49" s="62"/>
      <c r="G49" s="197" t="s">
        <v>80</v>
      </c>
      <c r="H49" s="312">
        <f>+PMT(M62/12,I64,-I8)</f>
        <v>21978.911784697873</v>
      </c>
      <c r="I49" s="312"/>
      <c r="J49" s="62"/>
      <c r="K49" s="62"/>
      <c r="L49" s="62"/>
      <c r="M49" s="69"/>
      <c r="N49" s="202" t="s">
        <v>115</v>
      </c>
      <c r="O49" s="62"/>
      <c r="P49" s="203">
        <f>+P47/H52</f>
        <v>5.0951242779506867</v>
      </c>
      <c r="Q49" s="62"/>
      <c r="R49" s="62"/>
      <c r="S49" s="221" t="s">
        <v>193</v>
      </c>
      <c r="T49" s="63"/>
      <c r="U49" s="80"/>
    </row>
    <row r="50" spans="1:21">
      <c r="A50" s="3"/>
      <c r="B50" s="8"/>
      <c r="C50" s="62"/>
      <c r="D50" s="62"/>
      <c r="E50" s="62"/>
      <c r="F50" s="62"/>
      <c r="G50" s="201" t="s">
        <v>113</v>
      </c>
      <c r="H50" s="311">
        <f>+H48-H49</f>
        <v>4463.7303324570239</v>
      </c>
      <c r="I50" s="311"/>
      <c r="J50" s="62"/>
      <c r="K50" s="62"/>
      <c r="L50" s="62"/>
      <c r="M50" s="62"/>
      <c r="N50" s="202" t="s">
        <v>117</v>
      </c>
      <c r="O50" s="62"/>
      <c r="P50" s="199">
        <f>+M62</f>
        <v>4.2500000000000003E-2</v>
      </c>
      <c r="Q50" s="62"/>
      <c r="R50" s="62"/>
      <c r="S50" s="62"/>
      <c r="T50" s="11"/>
      <c r="U50" s="7"/>
    </row>
    <row r="51" spans="1:21">
      <c r="A51" s="3"/>
      <c r="B51" s="8"/>
      <c r="C51" s="62"/>
      <c r="D51" s="62"/>
      <c r="E51" s="62"/>
      <c r="F51" s="62"/>
      <c r="G51" s="201"/>
      <c r="H51" s="196"/>
      <c r="I51" s="196"/>
      <c r="J51" s="62"/>
      <c r="K51" s="62"/>
      <c r="L51" s="62"/>
      <c r="M51" s="62"/>
      <c r="N51" s="202" t="s">
        <v>118</v>
      </c>
      <c r="O51" s="62"/>
      <c r="P51" s="204">
        <f>+N76</f>
        <v>5.3749999999999999E-2</v>
      </c>
      <c r="Q51" s="62"/>
      <c r="S51" s="62"/>
      <c r="T51" s="11"/>
      <c r="U51" s="7"/>
    </row>
    <row r="52" spans="1:21">
      <c r="A52" s="3"/>
      <c r="B52" s="8"/>
      <c r="C52" s="62"/>
      <c r="D52" s="62"/>
      <c r="E52" s="62"/>
      <c r="F52" s="62"/>
      <c r="G52" s="201" t="s">
        <v>112</v>
      </c>
      <c r="H52" s="311">
        <f>+H50*12</f>
        <v>53564.763989484287</v>
      </c>
      <c r="I52" s="311"/>
      <c r="J52" s="62"/>
      <c r="K52" s="62"/>
      <c r="L52" s="62"/>
      <c r="M52" s="62"/>
      <c r="N52" s="202" t="s">
        <v>116</v>
      </c>
      <c r="O52" s="62"/>
      <c r="P52" s="205">
        <f>+N76-M62</f>
        <v>1.1249999999999996E-2</v>
      </c>
      <c r="Q52" s="62"/>
      <c r="R52" s="62"/>
      <c r="S52" s="62"/>
      <c r="T52" s="11"/>
      <c r="U52" s="7"/>
    </row>
    <row r="53" spans="1:21">
      <c r="A53" s="3"/>
      <c r="B53" s="8"/>
      <c r="C53" s="62"/>
      <c r="D53" s="10"/>
      <c r="E53" s="62"/>
      <c r="F53" s="62"/>
      <c r="G53" s="62"/>
      <c r="H53" s="62"/>
      <c r="I53" s="62"/>
      <c r="J53" s="62"/>
      <c r="K53" s="200"/>
      <c r="L53" s="62"/>
      <c r="M53" s="62"/>
      <c r="N53" s="202" t="s">
        <v>119</v>
      </c>
      <c r="O53" s="62"/>
      <c r="P53" s="198">
        <f>+(I64-S78)/12</f>
        <v>7.25</v>
      </c>
      <c r="Q53" s="62"/>
      <c r="R53" s="62"/>
      <c r="S53" s="62"/>
      <c r="T53" s="11"/>
      <c r="U53" s="7"/>
    </row>
    <row r="54" spans="1:21">
      <c r="A54" s="3"/>
      <c r="B54" s="49"/>
      <c r="C54" s="291" t="s">
        <v>171</v>
      </c>
      <c r="D54" s="50"/>
      <c r="E54" s="50"/>
      <c r="F54" s="50"/>
      <c r="G54" s="182"/>
      <c r="H54" s="296"/>
      <c r="I54" s="296"/>
      <c r="J54" s="50"/>
      <c r="K54" s="298" t="s">
        <v>190</v>
      </c>
      <c r="L54" s="50"/>
      <c r="M54" s="50"/>
      <c r="N54" s="50"/>
      <c r="O54" s="50"/>
      <c r="P54" s="50"/>
      <c r="Q54" s="168"/>
      <c r="R54" s="68"/>
      <c r="S54" s="169"/>
      <c r="T54" s="51"/>
      <c r="U54" s="7"/>
    </row>
    <row r="55" spans="1:21">
      <c r="A55" s="143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5"/>
      <c r="Q55" s="146"/>
      <c r="R55" s="146"/>
      <c r="S55" s="147"/>
      <c r="T55" s="180" t="s">
        <v>155</v>
      </c>
      <c r="U55" s="179"/>
    </row>
    <row r="56" spans="1:21">
      <c r="A56" s="148"/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9"/>
      <c r="P56" s="150"/>
      <c r="Q56" s="151"/>
      <c r="R56" s="151"/>
      <c r="S56" s="152"/>
      <c r="T56" s="149"/>
      <c r="U56" s="269">
        <v>2</v>
      </c>
    </row>
    <row r="57" spans="1:21">
      <c r="A57" s="78"/>
      <c r="B57" s="4"/>
      <c r="C57" s="96"/>
      <c r="D57" s="97"/>
      <c r="E57" s="98"/>
      <c r="F57" s="98" t="s">
        <v>53</v>
      </c>
      <c r="G57" s="308" t="str">
        <f>+G4</f>
        <v>Oak Tree Manor Apartments</v>
      </c>
      <c r="H57" s="308"/>
      <c r="I57" s="308"/>
      <c r="J57" s="40"/>
      <c r="K57" s="60"/>
      <c r="L57" s="40"/>
      <c r="M57" s="98" t="s">
        <v>51</v>
      </c>
      <c r="N57" s="309" t="str">
        <f>+N4</f>
        <v>123-45678</v>
      </c>
      <c r="O57" s="309"/>
      <c r="P57" s="309"/>
      <c r="Q57" s="309"/>
      <c r="R57" s="309"/>
      <c r="S57" s="60"/>
      <c r="T57" s="61"/>
      <c r="U57" s="80"/>
    </row>
    <row r="58" spans="1:21">
      <c r="A58" s="78"/>
      <c r="B58" s="8"/>
      <c r="C58" s="93"/>
      <c r="D58" s="62"/>
      <c r="E58" s="94"/>
      <c r="F58" s="94" t="s">
        <v>54</v>
      </c>
      <c r="G58" s="308" t="str">
        <f>+G5</f>
        <v>Springfield, MO</v>
      </c>
      <c r="H58" s="308"/>
      <c r="I58" s="308"/>
      <c r="J58" s="30"/>
      <c r="K58" s="62"/>
      <c r="L58" s="30"/>
      <c r="M58" s="94" t="s">
        <v>52</v>
      </c>
      <c r="N58" s="309" t="str">
        <f>+N5</f>
        <v>Oak Tree Manor LP</v>
      </c>
      <c r="O58" s="309"/>
      <c r="P58" s="309"/>
      <c r="Q58" s="309"/>
      <c r="R58" s="309"/>
      <c r="S58" s="21"/>
      <c r="T58" s="90"/>
      <c r="U58" s="80"/>
    </row>
    <row r="59" spans="1:21">
      <c r="A59" s="78"/>
      <c r="B59" s="49"/>
      <c r="C59" s="15"/>
      <c r="D59" s="16"/>
      <c r="E59" s="142"/>
      <c r="F59" s="142" t="s">
        <v>55</v>
      </c>
      <c r="G59" s="308" t="str">
        <f>+G6</f>
        <v>FHA Capital Mortgage, Inc.</v>
      </c>
      <c r="H59" s="308"/>
      <c r="I59" s="308"/>
      <c r="J59" s="17"/>
      <c r="K59" s="17"/>
      <c r="L59" s="17"/>
      <c r="M59" s="142"/>
      <c r="N59" s="17"/>
      <c r="O59" s="17"/>
      <c r="P59" s="19"/>
      <c r="Q59" s="19"/>
      <c r="R59" s="19"/>
      <c r="S59" s="91"/>
      <c r="T59" s="22"/>
      <c r="U59" s="80"/>
    </row>
    <row r="60" spans="1:21">
      <c r="A60" s="78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81"/>
      <c r="Q60" s="82"/>
      <c r="R60" s="82"/>
      <c r="S60" s="163"/>
      <c r="T60" s="79"/>
      <c r="U60" s="80"/>
    </row>
    <row r="61" spans="1:21">
      <c r="A61" s="3"/>
      <c r="B61" s="4"/>
      <c r="C61" s="128" t="s">
        <v>168</v>
      </c>
      <c r="D61" s="60" t="s">
        <v>25</v>
      </c>
      <c r="E61" s="60"/>
      <c r="F61" s="40"/>
      <c r="G61" s="40"/>
      <c r="H61" s="40"/>
      <c r="I61" s="40"/>
      <c r="J61" s="40"/>
      <c r="K61" s="40"/>
      <c r="L61" s="40"/>
      <c r="M61" s="13"/>
      <c r="N61" s="13"/>
      <c r="O61" s="13"/>
      <c r="P61" s="13"/>
      <c r="Q61" s="13"/>
      <c r="R61" s="13"/>
      <c r="S61" s="13"/>
      <c r="T61" s="14"/>
      <c r="U61" s="7"/>
    </row>
    <row r="62" spans="1:21">
      <c r="A62" s="3"/>
      <c r="B62" s="8"/>
      <c r="C62" s="62"/>
      <c r="D62" s="62" t="s">
        <v>17</v>
      </c>
      <c r="E62" s="77" t="s">
        <v>26</v>
      </c>
      <c r="F62" s="31"/>
      <c r="G62" s="31"/>
      <c r="H62" s="31"/>
      <c r="I62" s="31"/>
      <c r="J62" s="31"/>
      <c r="K62" s="31"/>
      <c r="L62" s="31"/>
      <c r="M62" s="105">
        <v>4.2500000000000003E-2</v>
      </c>
      <c r="N62" s="26"/>
      <c r="O62" s="26"/>
      <c r="P62" s="26"/>
      <c r="Q62" s="24"/>
      <c r="R62" s="24"/>
      <c r="S62" s="24"/>
      <c r="T62" s="38"/>
      <c r="U62" s="7"/>
    </row>
    <row r="63" spans="1:21">
      <c r="A63" s="3"/>
      <c r="B63" s="8"/>
      <c r="C63" s="62"/>
      <c r="D63" s="62" t="s">
        <v>19</v>
      </c>
      <c r="E63" s="77" t="s">
        <v>27</v>
      </c>
      <c r="F63" s="31"/>
      <c r="G63" s="31"/>
      <c r="H63" s="31"/>
      <c r="I63" s="31"/>
      <c r="J63" s="31"/>
      <c r="K63" s="31"/>
      <c r="L63" s="31"/>
      <c r="M63" s="105">
        <v>4.4999999999999997E-3</v>
      </c>
      <c r="N63" s="26"/>
      <c r="O63" s="26"/>
      <c r="P63" s="26"/>
      <c r="Q63" s="24"/>
      <c r="R63" s="24"/>
      <c r="S63" s="24"/>
      <c r="T63" s="38"/>
      <c r="U63" s="7"/>
    </row>
    <row r="64" spans="1:21">
      <c r="A64" s="3"/>
      <c r="B64" s="8"/>
      <c r="C64" s="62"/>
      <c r="D64" s="62" t="s">
        <v>20</v>
      </c>
      <c r="E64" s="77" t="s">
        <v>28</v>
      </c>
      <c r="F64" s="31"/>
      <c r="G64" s="31"/>
      <c r="H64" s="43" t="s">
        <v>167</v>
      </c>
      <c r="I64" s="112">
        <v>420</v>
      </c>
      <c r="J64" s="31"/>
      <c r="K64" s="31"/>
      <c r="L64" s="31"/>
      <c r="M64" s="175">
        <f>+(PMT(M62/12,I64,-1)*12)-M62</f>
        <v>1.2447279461744683E-2</v>
      </c>
      <c r="N64" s="26"/>
      <c r="O64" s="26"/>
      <c r="P64" s="37"/>
      <c r="Q64" s="24"/>
      <c r="R64" s="24"/>
      <c r="S64" s="10"/>
      <c r="T64" s="11"/>
      <c r="U64" s="7"/>
    </row>
    <row r="65" spans="1:21">
      <c r="A65" s="3"/>
      <c r="B65" s="8"/>
      <c r="C65" s="62"/>
      <c r="D65" s="62" t="s">
        <v>21</v>
      </c>
      <c r="E65" s="77" t="s">
        <v>29</v>
      </c>
      <c r="F65" s="31"/>
      <c r="G65" s="31"/>
      <c r="H65" s="10"/>
      <c r="I65" s="36"/>
      <c r="J65" s="31"/>
      <c r="K65" s="36"/>
      <c r="L65" s="31"/>
      <c r="M65" s="35"/>
      <c r="N65" s="26"/>
      <c r="O65" s="26"/>
      <c r="P65" s="175">
        <f>SUM(M62:M64)</f>
        <v>5.9447279461744683E-2</v>
      </c>
      <c r="Q65" s="24"/>
      <c r="R65" s="24"/>
      <c r="S65" s="10"/>
      <c r="T65" s="11"/>
      <c r="U65" s="7"/>
    </row>
    <row r="66" spans="1:21">
      <c r="A66" s="3"/>
      <c r="B66" s="8"/>
      <c r="C66" s="62"/>
      <c r="D66" s="62" t="s">
        <v>22</v>
      </c>
      <c r="E66" s="77" t="s">
        <v>30</v>
      </c>
      <c r="F66" s="34"/>
      <c r="G66" s="34"/>
      <c r="H66" s="31"/>
      <c r="I66" s="85">
        <v>400000</v>
      </c>
      <c r="J66" s="33" t="s">
        <v>18</v>
      </c>
      <c r="K66" s="106">
        <v>0.9</v>
      </c>
      <c r="L66" s="26"/>
      <c r="M66" s="26"/>
      <c r="N66" s="26"/>
      <c r="O66" s="26"/>
      <c r="P66" s="176">
        <f>+I66*K66</f>
        <v>360000</v>
      </c>
      <c r="Q66" s="100"/>
      <c r="R66" s="100"/>
      <c r="S66" s="62"/>
      <c r="T66" s="11"/>
      <c r="U66" s="7"/>
    </row>
    <row r="67" spans="1:21">
      <c r="A67" s="3"/>
      <c r="B67" s="8"/>
      <c r="C67" s="62"/>
      <c r="D67" s="62" t="s">
        <v>23</v>
      </c>
      <c r="E67" s="77" t="s">
        <v>31</v>
      </c>
      <c r="F67" s="42"/>
      <c r="G67" s="69"/>
      <c r="H67" s="85"/>
      <c r="I67" s="69"/>
      <c r="J67" s="43" t="s">
        <v>88</v>
      </c>
      <c r="K67" s="105"/>
      <c r="L67" s="44"/>
      <c r="M67" s="10"/>
      <c r="N67" s="45"/>
      <c r="O67" s="45"/>
      <c r="P67" s="109"/>
      <c r="Q67" s="101"/>
      <c r="R67" s="101"/>
      <c r="S67" s="101"/>
      <c r="T67" s="46"/>
      <c r="U67" s="7"/>
    </row>
    <row r="68" spans="1:21">
      <c r="A68" s="3"/>
      <c r="B68" s="8"/>
      <c r="C68" s="62"/>
      <c r="D68" s="62" t="s">
        <v>24</v>
      </c>
      <c r="E68" s="77" t="s">
        <v>32</v>
      </c>
      <c r="F68" s="31"/>
      <c r="G68" s="31"/>
      <c r="H68" s="31"/>
      <c r="I68" s="26"/>
      <c r="J68" s="26"/>
      <c r="K68" s="35"/>
      <c r="L68" s="26"/>
      <c r="M68" s="26"/>
      <c r="N68" s="26"/>
      <c r="O68" s="26"/>
      <c r="P68" s="176">
        <f>+P66+P67-P67</f>
        <v>360000</v>
      </c>
      <c r="Q68" s="100"/>
      <c r="R68" s="100"/>
      <c r="S68" s="100"/>
      <c r="T68" s="38"/>
      <c r="U68" s="7"/>
    </row>
    <row r="69" spans="1:21">
      <c r="A69" s="3"/>
      <c r="B69" s="8"/>
      <c r="C69" s="62"/>
      <c r="D69" s="62" t="s">
        <v>33</v>
      </c>
      <c r="E69" s="77" t="s">
        <v>34</v>
      </c>
      <c r="F69" s="32"/>
      <c r="G69" s="32"/>
      <c r="H69" s="41"/>
      <c r="I69" s="32"/>
      <c r="J69" s="32"/>
      <c r="K69" s="41"/>
      <c r="L69" s="32"/>
      <c r="M69" s="32"/>
      <c r="N69" s="32"/>
      <c r="O69" s="32"/>
      <c r="P69" s="102"/>
      <c r="Q69" s="100"/>
      <c r="R69" s="100"/>
      <c r="S69" s="176">
        <f>ROUNDDOWN(+P68/P65,-2)</f>
        <v>6055700</v>
      </c>
      <c r="T69" s="38"/>
      <c r="U69" s="7"/>
    </row>
    <row r="70" spans="1:21">
      <c r="A70" s="3"/>
      <c r="B70" s="8"/>
      <c r="C70" s="62"/>
      <c r="D70" s="62" t="s">
        <v>35</v>
      </c>
      <c r="E70" s="48" t="s">
        <v>56</v>
      </c>
      <c r="F70" s="32"/>
      <c r="G70" s="32"/>
      <c r="H70" s="85"/>
      <c r="I70" s="107" t="s">
        <v>36</v>
      </c>
      <c r="J70" s="69"/>
      <c r="K70" s="108"/>
      <c r="L70" s="41"/>
      <c r="M70" s="47"/>
      <c r="N70" s="47"/>
      <c r="O70" s="47"/>
      <c r="P70" s="103"/>
      <c r="Q70" s="62"/>
      <c r="R70" s="62"/>
      <c r="S70" s="110"/>
      <c r="T70" s="38"/>
      <c r="U70" s="7"/>
    </row>
    <row r="71" spans="1:21">
      <c r="A71" s="3"/>
      <c r="B71" s="8"/>
      <c r="C71" s="62"/>
      <c r="D71" s="62" t="s">
        <v>37</v>
      </c>
      <c r="E71" s="48" t="s">
        <v>38</v>
      </c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100"/>
      <c r="R71" s="100"/>
      <c r="S71" s="176">
        <f>+S69+S70</f>
        <v>6055700</v>
      </c>
      <c r="T71" s="38"/>
      <c r="U71" s="7"/>
    </row>
    <row r="72" spans="1:21">
      <c r="A72" s="3"/>
      <c r="B72" s="49"/>
      <c r="C72" s="68"/>
      <c r="D72" s="68"/>
      <c r="E72" s="50"/>
      <c r="F72" s="50"/>
      <c r="G72" s="50"/>
      <c r="H72" s="50"/>
      <c r="I72" s="50"/>
      <c r="J72" s="50"/>
      <c r="K72" s="250"/>
      <c r="L72" s="250" t="s">
        <v>145</v>
      </c>
      <c r="M72" s="251">
        <f>+P68/P65-S71</f>
        <v>85.954539198428392</v>
      </c>
      <c r="N72" s="50"/>
      <c r="O72" s="50"/>
      <c r="P72" s="50"/>
      <c r="Q72" s="134"/>
      <c r="R72" s="134"/>
      <c r="S72" s="135"/>
      <c r="T72" s="136"/>
      <c r="U72" s="7"/>
    </row>
    <row r="73" spans="1:21">
      <c r="A73" s="78"/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  <c r="Q73" s="82"/>
      <c r="R73" s="82"/>
      <c r="S73" s="83"/>
      <c r="T73" s="79"/>
      <c r="U73" s="80"/>
    </row>
    <row r="74" spans="1:21">
      <c r="A74" s="3"/>
      <c r="B74" s="4"/>
      <c r="C74" s="297" t="s">
        <v>169</v>
      </c>
      <c r="D74" s="5" t="s">
        <v>152</v>
      </c>
      <c r="E74" s="60"/>
      <c r="F74" s="40"/>
      <c r="G74" s="40"/>
      <c r="H74" s="40"/>
      <c r="I74" s="40"/>
      <c r="J74" s="40"/>
      <c r="K74" s="40"/>
      <c r="L74" s="40"/>
      <c r="M74" s="13"/>
      <c r="N74" s="326" t="s">
        <v>166</v>
      </c>
      <c r="O74" s="327"/>
      <c r="P74" s="283">
        <f>+S12</f>
        <v>5000000</v>
      </c>
      <c r="Q74" s="317" t="s">
        <v>77</v>
      </c>
      <c r="R74" s="317"/>
      <c r="S74" s="285" t="s">
        <v>78</v>
      </c>
      <c r="T74" s="6"/>
      <c r="U74" s="7"/>
    </row>
    <row r="75" spans="1:21">
      <c r="A75" s="3"/>
      <c r="B75" s="8"/>
      <c r="C75" s="62"/>
      <c r="D75" s="10"/>
      <c r="E75" s="62"/>
      <c r="F75" s="30"/>
      <c r="G75" s="30"/>
      <c r="H75" s="30"/>
      <c r="I75" s="30"/>
      <c r="J75" s="30"/>
      <c r="K75" s="30"/>
      <c r="L75" s="30"/>
      <c r="M75" s="24"/>
      <c r="N75" s="316" t="s">
        <v>90</v>
      </c>
      <c r="O75" s="317"/>
      <c r="P75" s="13" t="s">
        <v>157</v>
      </c>
      <c r="Q75" s="13"/>
      <c r="R75" s="5"/>
      <c r="S75" s="286" t="s">
        <v>76</v>
      </c>
      <c r="T75" s="11"/>
      <c r="U75" s="7"/>
    </row>
    <row r="76" spans="1:21">
      <c r="A76" s="3"/>
      <c r="B76" s="8"/>
      <c r="C76" s="28"/>
      <c r="D76" s="29"/>
      <c r="E76" s="137" t="s">
        <v>46</v>
      </c>
      <c r="F76" s="2"/>
      <c r="G76" s="30"/>
      <c r="H76" s="30"/>
      <c r="I76" s="30"/>
      <c r="J76" s="30"/>
      <c r="K76" s="30"/>
      <c r="L76" s="69"/>
      <c r="M76" s="223" t="s">
        <v>135</v>
      </c>
      <c r="N76" s="336">
        <v>5.3749999999999999E-2</v>
      </c>
      <c r="O76" s="337"/>
      <c r="P76" s="166">
        <v>39600</v>
      </c>
      <c r="Q76" s="62"/>
      <c r="R76" s="62"/>
      <c r="S76" s="166">
        <v>52383</v>
      </c>
      <c r="T76" s="11"/>
      <c r="U76" s="7"/>
    </row>
    <row r="77" spans="1:21">
      <c r="A77" s="3"/>
      <c r="B77" s="8"/>
      <c r="C77" s="28"/>
      <c r="D77" s="29"/>
      <c r="E77" s="138" t="s">
        <v>45</v>
      </c>
      <c r="F77" s="58"/>
      <c r="G77" s="30"/>
      <c r="H77" s="30"/>
      <c r="I77" s="30"/>
      <c r="J77" s="69"/>
      <c r="K77" s="30"/>
      <c r="L77" s="220" t="s">
        <v>133</v>
      </c>
      <c r="M77" s="224" t="s">
        <v>134</v>
      </c>
      <c r="N77" s="320" t="s">
        <v>158</v>
      </c>
      <c r="O77" s="321"/>
      <c r="P77" s="173" t="s">
        <v>79</v>
      </c>
      <c r="Q77" s="62"/>
      <c r="R77" s="278"/>
      <c r="S77" s="287" t="s">
        <v>206</v>
      </c>
      <c r="T77" s="11"/>
      <c r="U77" s="7"/>
    </row>
    <row r="78" spans="1:21">
      <c r="A78" s="3"/>
      <c r="B78" s="8"/>
      <c r="C78" s="28"/>
      <c r="D78" s="29"/>
      <c r="E78" s="10" t="s">
        <v>73</v>
      </c>
      <c r="F78" s="62"/>
      <c r="G78" s="30"/>
      <c r="H78" s="62"/>
      <c r="I78" s="62"/>
      <c r="J78" s="62"/>
      <c r="K78" s="85">
        <f>+P80</f>
        <v>4570637.6481840024</v>
      </c>
      <c r="L78" s="270">
        <f>+K78/K78</f>
        <v>1</v>
      </c>
      <c r="M78" s="189">
        <f>+K78</f>
        <v>4570637.6481840024</v>
      </c>
      <c r="N78" s="318">
        <f>+DAYS360(P76,S76)/360</f>
        <v>35</v>
      </c>
      <c r="O78" s="319"/>
      <c r="P78" s="280" t="s">
        <v>156</v>
      </c>
      <c r="Q78" s="69"/>
      <c r="R78" s="281"/>
      <c r="S78" s="282">
        <f>+DAYS360(P78,S76)/30</f>
        <v>333</v>
      </c>
      <c r="T78" s="11"/>
      <c r="U78" s="7"/>
    </row>
    <row r="79" spans="1:21">
      <c r="A79" s="3"/>
      <c r="B79" s="8"/>
      <c r="C79" s="28"/>
      <c r="D79" s="29"/>
      <c r="E79" s="10" t="s">
        <v>132</v>
      </c>
      <c r="F79" s="62"/>
      <c r="G79" s="30"/>
      <c r="H79" s="62"/>
      <c r="I79" s="62"/>
      <c r="J79" s="62"/>
      <c r="K79" s="85">
        <f>+K78*0.03</f>
        <v>137119.12944552006</v>
      </c>
      <c r="L79" s="161">
        <f>+K79/K78</f>
        <v>2.9999999999999995E-2</v>
      </c>
      <c r="M79" s="69"/>
      <c r="N79" s="288"/>
      <c r="O79" s="279" t="s">
        <v>161</v>
      </c>
      <c r="P79" s="283">
        <f>+CUMPRINC(N76/12,N78*12,+S12,1,+N78*12-S78,0)</f>
        <v>-429362.35181599733</v>
      </c>
      <c r="Q79" s="322">
        <f>+-P79/P74</f>
        <v>8.5872470363199463E-2</v>
      </c>
      <c r="R79" s="323"/>
      <c r="S79" s="287" t="s">
        <v>159</v>
      </c>
      <c r="T79" s="11"/>
      <c r="U79" s="7"/>
    </row>
    <row r="80" spans="1:21">
      <c r="A80" s="3"/>
      <c r="B80" s="8"/>
      <c r="C80" s="28"/>
      <c r="D80" s="29"/>
      <c r="E80" s="222" t="s">
        <v>131</v>
      </c>
      <c r="F80" s="62"/>
      <c r="G80" s="30"/>
      <c r="H80" s="85">
        <v>48000</v>
      </c>
      <c r="I80" s="69"/>
      <c r="J80" s="62"/>
      <c r="K80" s="62"/>
      <c r="L80" s="226" t="s">
        <v>207</v>
      </c>
      <c r="M80" s="284">
        <f>+K79-H80</f>
        <v>89119.129445520055</v>
      </c>
      <c r="N80" s="288"/>
      <c r="O80" s="279" t="s">
        <v>162</v>
      </c>
      <c r="P80" s="283">
        <f>+S12+P79</f>
        <v>4570637.6481840024</v>
      </c>
      <c r="Q80" s="324">
        <f>+P80/P74</f>
        <v>0.91412752963680044</v>
      </c>
      <c r="R80" s="325"/>
      <c r="S80" s="282">
        <f>+(N78*12-S78)</f>
        <v>87</v>
      </c>
      <c r="T80" s="11"/>
      <c r="U80" s="7"/>
    </row>
    <row r="81" spans="1:21">
      <c r="A81" s="3"/>
      <c r="B81" s="8"/>
      <c r="C81" s="28"/>
      <c r="D81" s="29"/>
      <c r="E81" s="222" t="s">
        <v>136</v>
      </c>
      <c r="F81" s="62"/>
      <c r="G81" s="30"/>
      <c r="H81" s="85">
        <v>0</v>
      </c>
      <c r="I81" s="222"/>
      <c r="J81" s="62"/>
      <c r="K81" s="69"/>
      <c r="L81" s="30"/>
      <c r="M81" s="62"/>
      <c r="N81" s="289"/>
      <c r="O81" s="159"/>
      <c r="P81" s="92"/>
      <c r="Q81" s="211"/>
      <c r="R81" s="290" t="s">
        <v>160</v>
      </c>
      <c r="S81" s="282">
        <f>+TRUNC(S80/12,0)</f>
        <v>7</v>
      </c>
      <c r="T81" s="11"/>
      <c r="U81" s="7"/>
    </row>
    <row r="82" spans="1:21">
      <c r="A82" s="3"/>
      <c r="B82" s="8"/>
      <c r="C82" s="28"/>
      <c r="D82" s="29"/>
      <c r="E82" s="222" t="s">
        <v>208</v>
      </c>
      <c r="F82" s="62"/>
      <c r="G82" s="30"/>
      <c r="H82" s="140">
        <f>+H80+H81</f>
        <v>48000</v>
      </c>
      <c r="I82" s="69"/>
      <c r="J82" s="62"/>
      <c r="K82" s="62"/>
      <c r="L82" s="30"/>
      <c r="M82" s="69"/>
      <c r="N82" s="24"/>
      <c r="O82" s="24"/>
      <c r="P82" s="24"/>
      <c r="Q82" s="186"/>
      <c r="R82" s="186"/>
      <c r="T82" s="11"/>
      <c r="U82" s="7"/>
    </row>
    <row r="83" spans="1:21">
      <c r="A83" s="3"/>
      <c r="B83" s="8"/>
      <c r="C83" s="28"/>
      <c r="D83" s="29"/>
      <c r="E83" s="10" t="s">
        <v>130</v>
      </c>
      <c r="F83" s="62"/>
      <c r="G83" s="30"/>
      <c r="H83" s="62"/>
      <c r="I83" s="62"/>
      <c r="J83" s="69"/>
      <c r="K83" s="85">
        <v>0</v>
      </c>
      <c r="L83" s="30"/>
      <c r="M83" s="176">
        <f>+K83</f>
        <v>0</v>
      </c>
      <c r="N83" s="24" t="s">
        <v>148</v>
      </c>
      <c r="P83" s="85">
        <v>0</v>
      </c>
      <c r="Q83" s="24"/>
      <c r="R83" s="10"/>
      <c r="S83" s="50"/>
      <c r="T83" s="11"/>
      <c r="U83" s="7"/>
    </row>
    <row r="84" spans="1:21">
      <c r="A84" s="3"/>
      <c r="B84" s="8"/>
      <c r="C84" s="28"/>
      <c r="D84" s="29"/>
      <c r="E84" s="10" t="s">
        <v>91</v>
      </c>
      <c r="F84" s="62"/>
      <c r="G84" s="30"/>
      <c r="H84" s="62"/>
      <c r="I84" s="62"/>
      <c r="J84" s="30"/>
      <c r="K84" s="176">
        <f>+K78+K79+K83</f>
        <v>4707756.7776295226</v>
      </c>
      <c r="L84" s="30"/>
      <c r="M84" s="176">
        <f>+M78+M80+M83</f>
        <v>4659756.7776295226</v>
      </c>
      <c r="N84" s="24"/>
      <c r="O84" s="24"/>
      <c r="P84" s="130" t="s">
        <v>69</v>
      </c>
      <c r="Q84" s="13"/>
      <c r="R84" s="5"/>
      <c r="S84" s="6"/>
      <c r="T84" s="11"/>
      <c r="U84" s="7"/>
    </row>
    <row r="85" spans="1:21">
      <c r="A85" s="3"/>
      <c r="B85" s="8"/>
      <c r="C85" s="28"/>
      <c r="D85" s="29"/>
      <c r="E85" s="10" t="s">
        <v>49</v>
      </c>
      <c r="F85" s="62"/>
      <c r="G85" s="30"/>
      <c r="H85" s="62"/>
      <c r="I85" s="62"/>
      <c r="J85" s="30"/>
      <c r="K85" s="30"/>
      <c r="L85" s="30"/>
      <c r="M85" s="85">
        <v>25000</v>
      </c>
      <c r="N85" s="24"/>
      <c r="O85" s="24"/>
      <c r="P85" s="131">
        <f>+M86</f>
        <v>10000</v>
      </c>
      <c r="Q85" s="24" t="s">
        <v>68</v>
      </c>
      <c r="R85" s="24" t="s">
        <v>59</v>
      </c>
      <c r="S85" s="11"/>
      <c r="T85" s="11"/>
      <c r="U85" s="7"/>
    </row>
    <row r="86" spans="1:21">
      <c r="A86" s="3"/>
      <c r="B86" s="8"/>
      <c r="C86" s="28"/>
      <c r="D86" s="29"/>
      <c r="E86" s="10" t="s">
        <v>48</v>
      </c>
      <c r="F86" s="62"/>
      <c r="G86" s="30"/>
      <c r="H86" s="62"/>
      <c r="I86" s="62"/>
      <c r="J86" s="30"/>
      <c r="K86" s="30"/>
      <c r="L86" s="30"/>
      <c r="M86" s="85">
        <v>10000</v>
      </c>
      <c r="N86" s="24"/>
      <c r="O86" s="24"/>
      <c r="P86" s="133">
        <v>0.2</v>
      </c>
      <c r="Q86" s="24" t="s">
        <v>19</v>
      </c>
      <c r="R86" s="24" t="s">
        <v>67</v>
      </c>
      <c r="S86" s="11"/>
      <c r="T86" s="11"/>
      <c r="U86" s="7"/>
    </row>
    <row r="87" spans="1:21">
      <c r="A87" s="3"/>
      <c r="B87" s="8"/>
      <c r="C87" s="28"/>
      <c r="D87" s="29"/>
      <c r="E87" s="10" t="s">
        <v>164</v>
      </c>
      <c r="F87" s="62"/>
      <c r="G87" s="30"/>
      <c r="H87" s="62"/>
      <c r="I87" s="62"/>
      <c r="J87" s="30"/>
      <c r="K87" s="30"/>
      <c r="L87" s="30"/>
      <c r="M87" s="85">
        <v>12000</v>
      </c>
      <c r="N87" s="24"/>
      <c r="O87" s="24"/>
      <c r="P87" s="132">
        <f>+P85*P86</f>
        <v>2000</v>
      </c>
      <c r="Q87" s="92" t="s">
        <v>20</v>
      </c>
      <c r="R87" s="92" t="s">
        <v>66</v>
      </c>
      <c r="S87" s="51"/>
      <c r="T87" s="11"/>
      <c r="U87" s="7"/>
    </row>
    <row r="88" spans="1:21">
      <c r="A88" s="3"/>
      <c r="B88" s="8"/>
      <c r="C88" s="28"/>
      <c r="D88" s="29"/>
      <c r="E88" s="10" t="s">
        <v>12</v>
      </c>
      <c r="F88" s="62"/>
      <c r="G88" s="30"/>
      <c r="H88" s="62"/>
      <c r="I88" s="62"/>
      <c r="J88" s="30"/>
      <c r="K88" s="30"/>
      <c r="L88" s="30"/>
      <c r="M88" s="85">
        <v>0</v>
      </c>
      <c r="N88" s="24"/>
      <c r="O88" s="24"/>
      <c r="P88" s="10"/>
      <c r="Q88" s="10"/>
      <c r="R88" s="10"/>
      <c r="S88" s="10"/>
      <c r="T88" s="11"/>
      <c r="U88" s="7"/>
    </row>
    <row r="89" spans="1:21">
      <c r="A89" s="3"/>
      <c r="B89" s="8"/>
      <c r="C89" s="28"/>
      <c r="D89" s="29"/>
      <c r="E89" s="10" t="s">
        <v>165</v>
      </c>
      <c r="F89" s="62"/>
      <c r="G89" s="30"/>
      <c r="H89" s="62"/>
      <c r="I89" s="62"/>
      <c r="J89" s="30"/>
      <c r="K89" s="30"/>
      <c r="L89" s="30"/>
      <c r="M89" s="85">
        <v>19000</v>
      </c>
      <c r="N89" s="24"/>
      <c r="O89" s="24"/>
      <c r="P89" s="10"/>
      <c r="Q89" s="10"/>
      <c r="R89" s="10"/>
      <c r="S89" s="10"/>
      <c r="T89" s="11"/>
      <c r="U89" s="7"/>
    </row>
    <row r="90" spans="1:21">
      <c r="A90" s="3"/>
      <c r="B90" s="8"/>
      <c r="C90" s="28"/>
      <c r="D90" s="29"/>
      <c r="E90" s="10" t="s">
        <v>103</v>
      </c>
      <c r="F90" s="62"/>
      <c r="G90" s="30"/>
      <c r="H90" s="62"/>
      <c r="I90" s="62"/>
      <c r="J90" s="30"/>
      <c r="K90" s="30"/>
      <c r="L90" s="30"/>
      <c r="M90" s="85">
        <v>4000</v>
      </c>
      <c r="N90" s="24"/>
      <c r="O90" s="24"/>
      <c r="P90" s="130" t="s">
        <v>75</v>
      </c>
      <c r="Q90" s="5"/>
      <c r="R90" s="5"/>
      <c r="S90" s="6"/>
      <c r="T90" s="11"/>
      <c r="U90" s="7"/>
    </row>
    <row r="91" spans="1:21">
      <c r="A91" s="3"/>
      <c r="B91" s="8"/>
      <c r="C91" s="28"/>
      <c r="D91" s="29"/>
      <c r="E91" s="10" t="s">
        <v>97</v>
      </c>
      <c r="F91" s="62"/>
      <c r="G91" s="30"/>
      <c r="H91" s="62"/>
      <c r="I91" s="62"/>
      <c r="J91" s="30"/>
      <c r="K91" s="30"/>
      <c r="L91" s="30"/>
      <c r="M91" s="85">
        <v>0</v>
      </c>
      <c r="N91" s="24"/>
      <c r="O91" s="24"/>
      <c r="P91" s="164">
        <f>+M92-M84</f>
        <v>70000</v>
      </c>
      <c r="Q91" s="50"/>
      <c r="R91" s="50"/>
      <c r="S91" s="51"/>
      <c r="T91" s="11"/>
      <c r="U91" s="7"/>
    </row>
    <row r="92" spans="1:21">
      <c r="A92" s="3"/>
      <c r="B92" s="8"/>
      <c r="C92" s="28"/>
      <c r="D92" s="29"/>
      <c r="E92" s="10" t="s">
        <v>163</v>
      </c>
      <c r="F92" s="62"/>
      <c r="G92" s="30"/>
      <c r="H92" s="62"/>
      <c r="I92" s="62"/>
      <c r="J92" s="30"/>
      <c r="K92" s="30"/>
      <c r="L92" s="30"/>
      <c r="M92" s="206">
        <f>SUM(M84:M91)</f>
        <v>4729756.7776295226</v>
      </c>
      <c r="N92" s="24"/>
      <c r="O92" s="24"/>
      <c r="P92" s="10"/>
      <c r="Q92" s="10"/>
      <c r="R92" s="10"/>
      <c r="S92" s="10"/>
      <c r="T92" s="11"/>
      <c r="U92" s="7"/>
    </row>
    <row r="93" spans="1:21">
      <c r="A93" s="3"/>
      <c r="B93" s="8"/>
      <c r="C93" s="28"/>
      <c r="D93" s="29"/>
      <c r="E93" s="138" t="s">
        <v>153</v>
      </c>
      <c r="F93" s="62"/>
      <c r="G93" s="30"/>
      <c r="H93" s="62"/>
      <c r="I93" s="62"/>
      <c r="J93" s="30"/>
      <c r="K93" s="30"/>
      <c r="L93" s="30"/>
      <c r="M93" s="111"/>
      <c r="N93" s="24"/>
      <c r="O93" s="24"/>
      <c r="P93" s="10"/>
      <c r="Q93" s="10"/>
      <c r="R93" s="10"/>
      <c r="S93" s="10"/>
      <c r="T93" s="11"/>
      <c r="U93" s="7"/>
    </row>
    <row r="94" spans="1:21">
      <c r="A94" s="3"/>
      <c r="B94" s="8"/>
      <c r="C94" s="28"/>
      <c r="D94" s="29"/>
      <c r="E94" s="10" t="s">
        <v>64</v>
      </c>
      <c r="F94" s="69"/>
      <c r="G94" s="62"/>
      <c r="H94" s="30"/>
      <c r="I94" s="62"/>
      <c r="J94" s="30"/>
      <c r="K94" s="85">
        <v>0</v>
      </c>
      <c r="L94" s="30"/>
      <c r="M94" s="62"/>
      <c r="N94" s="24"/>
      <c r="O94" s="62"/>
      <c r="P94" s="10"/>
      <c r="Q94" s="10"/>
      <c r="R94" s="10"/>
      <c r="S94" s="10"/>
      <c r="T94" s="11"/>
      <c r="U94" s="7"/>
    </row>
    <row r="95" spans="1:21">
      <c r="A95" s="3"/>
      <c r="B95" s="8"/>
      <c r="C95" s="28"/>
      <c r="D95" s="29"/>
      <c r="E95" s="10" t="s">
        <v>57</v>
      </c>
      <c r="F95" s="62"/>
      <c r="G95" s="30"/>
      <c r="H95" s="62"/>
      <c r="I95" s="62"/>
      <c r="J95" s="30"/>
      <c r="K95" s="85">
        <v>41000</v>
      </c>
      <c r="L95" s="30"/>
      <c r="M95" s="62"/>
      <c r="N95" s="24"/>
      <c r="O95" s="62"/>
      <c r="P95" s="10"/>
      <c r="Q95" s="10"/>
      <c r="R95" s="10"/>
      <c r="S95" s="10"/>
      <c r="T95" s="11"/>
      <c r="U95" s="7"/>
    </row>
    <row r="96" spans="1:21">
      <c r="A96" s="3"/>
      <c r="B96" s="8"/>
      <c r="C96" s="28"/>
      <c r="D96" s="29"/>
      <c r="E96" s="10" t="s">
        <v>108</v>
      </c>
      <c r="F96" s="62"/>
      <c r="G96" s="30"/>
      <c r="H96" s="62"/>
      <c r="I96" s="62"/>
      <c r="J96" s="30"/>
      <c r="K96" s="30"/>
      <c r="L96" s="30"/>
      <c r="M96" s="207">
        <f>+K94+K95</f>
        <v>41000</v>
      </c>
      <c r="N96" s="24"/>
      <c r="O96" s="62"/>
      <c r="P96" s="10"/>
      <c r="Q96" s="10"/>
      <c r="R96" s="10"/>
      <c r="S96" s="10"/>
      <c r="T96" s="11"/>
      <c r="U96" s="7"/>
    </row>
    <row r="97" spans="1:21">
      <c r="A97" s="3"/>
      <c r="B97" s="8"/>
      <c r="C97" s="28"/>
      <c r="D97" s="29"/>
      <c r="E97" s="138" t="s">
        <v>109</v>
      </c>
      <c r="F97" s="62"/>
      <c r="G97" s="30"/>
      <c r="H97" s="62"/>
      <c r="I97" s="62"/>
      <c r="J97" s="30"/>
      <c r="K97" s="69"/>
      <c r="L97" s="30"/>
      <c r="M97" s="208">
        <f>+M92-M96</f>
        <v>4688756.7776295226</v>
      </c>
      <c r="N97" s="24"/>
      <c r="O97" s="24"/>
      <c r="P97" s="10"/>
      <c r="Q97" s="10"/>
      <c r="R97" s="10"/>
      <c r="S97" s="10"/>
      <c r="T97" s="11"/>
      <c r="U97" s="7"/>
    </row>
    <row r="98" spans="1:21" ht="7.5" customHeight="1">
      <c r="A98" s="3"/>
      <c r="B98" s="8"/>
      <c r="C98" s="28"/>
      <c r="D98" s="29"/>
      <c r="E98" s="138"/>
      <c r="F98" s="62"/>
      <c r="G98" s="30"/>
      <c r="H98" s="62"/>
      <c r="I98" s="62"/>
      <c r="J98" s="30"/>
      <c r="K98" s="30"/>
      <c r="L98" s="30"/>
      <c r="M98" s="30"/>
      <c r="N98" s="24"/>
      <c r="O98" s="24"/>
      <c r="P98" s="10"/>
      <c r="Q98" s="10"/>
      <c r="R98" s="10"/>
      <c r="S98" s="10"/>
      <c r="T98" s="11"/>
      <c r="U98" s="7"/>
    </row>
    <row r="99" spans="1:21">
      <c r="A99" s="3"/>
      <c r="B99" s="8"/>
      <c r="C99" s="28"/>
      <c r="D99" s="29"/>
      <c r="E99" s="138" t="s">
        <v>209</v>
      </c>
      <c r="F99" s="58"/>
      <c r="G99" s="30"/>
      <c r="H99" s="30"/>
      <c r="I99" s="62"/>
      <c r="J99" s="30"/>
      <c r="K99" s="30"/>
      <c r="L99" s="30"/>
      <c r="M99" s="87"/>
      <c r="N99" s="24"/>
      <c r="O99" s="24"/>
      <c r="P99" s="24"/>
      <c r="Q99" s="24"/>
      <c r="R99" s="10"/>
      <c r="S99" s="10"/>
      <c r="T99" s="11"/>
      <c r="U99" s="7"/>
    </row>
    <row r="100" spans="1:21">
      <c r="A100" s="3"/>
      <c r="B100" s="8"/>
      <c r="C100" s="28"/>
      <c r="D100" s="29"/>
      <c r="E100" s="58" t="s">
        <v>10</v>
      </c>
      <c r="F100" s="62"/>
      <c r="G100" s="30"/>
      <c r="H100" s="62"/>
      <c r="I100" s="62"/>
      <c r="J100" s="30"/>
      <c r="K100" s="86">
        <v>4.4999999999999997E-3</v>
      </c>
      <c r="L100" s="30"/>
      <c r="M100" s="87"/>
      <c r="N100" s="24"/>
      <c r="O100" s="24"/>
      <c r="P100" s="24"/>
      <c r="Q100" s="24"/>
      <c r="R100" s="10"/>
      <c r="S100" s="10"/>
      <c r="T100" s="11"/>
      <c r="U100" s="7"/>
    </row>
    <row r="101" spans="1:21">
      <c r="A101" s="3"/>
      <c r="B101" s="8"/>
      <c r="C101" s="28"/>
      <c r="D101" s="29"/>
      <c r="E101" s="58" t="s">
        <v>9</v>
      </c>
      <c r="F101" s="62"/>
      <c r="G101" s="30"/>
      <c r="H101" s="62"/>
      <c r="I101" s="62"/>
      <c r="J101" s="30"/>
      <c r="K101" s="86">
        <v>1.5E-3</v>
      </c>
      <c r="L101" s="30"/>
      <c r="M101" s="87"/>
      <c r="N101" s="24"/>
      <c r="O101" s="24"/>
      <c r="P101" s="24"/>
      <c r="Q101" s="24"/>
      <c r="R101" s="10"/>
      <c r="S101" s="10"/>
      <c r="T101" s="11"/>
      <c r="U101" s="7"/>
    </row>
    <row r="102" spans="1:21">
      <c r="A102" s="3"/>
      <c r="B102" s="8"/>
      <c r="C102" s="28"/>
      <c r="D102" s="29"/>
      <c r="E102" s="58" t="s">
        <v>8</v>
      </c>
      <c r="F102" s="62"/>
      <c r="G102" s="30"/>
      <c r="H102" s="62"/>
      <c r="I102" s="62"/>
      <c r="J102" s="30"/>
      <c r="K102" s="86">
        <v>5.0000000000000001E-3</v>
      </c>
      <c r="L102" s="30"/>
      <c r="M102" s="87"/>
      <c r="N102" s="24"/>
      <c r="O102" s="24"/>
      <c r="P102" s="24"/>
      <c r="Q102" s="24"/>
      <c r="R102" s="10"/>
      <c r="S102" s="10"/>
      <c r="T102" s="11"/>
      <c r="U102" s="7"/>
    </row>
    <row r="103" spans="1:21">
      <c r="A103" s="3"/>
      <c r="B103" s="8"/>
      <c r="C103" s="28"/>
      <c r="D103" s="29"/>
      <c r="E103" s="58" t="s">
        <v>6</v>
      </c>
      <c r="F103" s="62"/>
      <c r="G103" s="30"/>
      <c r="H103" s="62"/>
      <c r="I103" s="62"/>
      <c r="J103" s="30"/>
      <c r="K103" s="86">
        <v>1.2500000000000001E-2</v>
      </c>
      <c r="L103" s="30"/>
      <c r="M103" s="87"/>
      <c r="N103" s="24"/>
      <c r="O103" s="24"/>
      <c r="Q103" s="24"/>
      <c r="R103" s="10"/>
      <c r="T103" s="11"/>
      <c r="U103" s="7"/>
    </row>
    <row r="104" spans="1:21">
      <c r="A104" s="3"/>
      <c r="B104" s="8"/>
      <c r="C104" s="28"/>
      <c r="D104" s="29"/>
      <c r="E104" s="58" t="s">
        <v>5</v>
      </c>
      <c r="F104" s="62"/>
      <c r="G104" s="62"/>
      <c r="H104" s="62"/>
      <c r="I104" s="62"/>
      <c r="J104" s="62"/>
      <c r="K104" s="86">
        <v>0</v>
      </c>
      <c r="L104" s="62"/>
      <c r="M104" s="62"/>
      <c r="N104" s="24"/>
      <c r="O104" s="24"/>
      <c r="P104" s="24"/>
      <c r="Q104" s="24"/>
      <c r="R104" s="10"/>
      <c r="S104" s="10"/>
      <c r="T104" s="11"/>
      <c r="U104" s="7"/>
    </row>
    <row r="105" spans="1:21">
      <c r="A105" s="3"/>
      <c r="B105" s="8"/>
      <c r="C105" s="28"/>
      <c r="D105" s="29"/>
      <c r="E105" s="58" t="s">
        <v>107</v>
      </c>
      <c r="F105" s="62"/>
      <c r="G105" s="62"/>
      <c r="H105" s="62"/>
      <c r="I105" s="62"/>
      <c r="J105" s="62"/>
      <c r="K105" s="86">
        <v>0</v>
      </c>
      <c r="L105" s="62"/>
      <c r="M105" s="62"/>
      <c r="N105" s="24"/>
      <c r="O105" s="24"/>
      <c r="P105" s="24"/>
      <c r="Q105" s="24"/>
      <c r="R105" s="10"/>
      <c r="T105" s="11"/>
      <c r="U105" s="7"/>
    </row>
    <row r="106" spans="1:21">
      <c r="A106" s="3"/>
      <c r="B106" s="8"/>
      <c r="C106" s="28"/>
      <c r="D106" s="29"/>
      <c r="E106" s="58" t="s">
        <v>62</v>
      </c>
      <c r="F106" s="62"/>
      <c r="G106" s="62"/>
      <c r="H106" s="62"/>
      <c r="I106" s="62"/>
      <c r="J106" s="62"/>
      <c r="K106" s="1">
        <f>+SUM(K100:K105)</f>
        <v>2.35E-2</v>
      </c>
      <c r="L106" s="62"/>
      <c r="M106" s="139"/>
      <c r="N106" s="24"/>
      <c r="O106" s="24"/>
      <c r="P106" s="24"/>
      <c r="Q106" s="24"/>
      <c r="R106" s="10"/>
      <c r="S106" s="10"/>
      <c r="T106" s="11"/>
      <c r="U106" s="7"/>
    </row>
    <row r="107" spans="1:21">
      <c r="A107" s="3"/>
      <c r="B107" s="8"/>
      <c r="C107" s="28"/>
      <c r="D107" s="29"/>
      <c r="E107" s="58" t="s">
        <v>110</v>
      </c>
      <c r="F107" s="62"/>
      <c r="G107" s="30"/>
      <c r="H107" s="69"/>
      <c r="I107" s="69"/>
      <c r="J107" s="30"/>
      <c r="K107" s="1">
        <f>1-K106</f>
        <v>0.97650000000000003</v>
      </c>
      <c r="L107" s="30"/>
      <c r="M107" s="24"/>
      <c r="N107" s="24"/>
      <c r="O107" s="24"/>
      <c r="P107" s="24"/>
      <c r="Q107" s="24"/>
      <c r="R107" s="10"/>
      <c r="S107" s="10"/>
      <c r="T107" s="11"/>
      <c r="U107" s="7"/>
    </row>
    <row r="108" spans="1:21">
      <c r="A108" s="3"/>
      <c r="B108" s="8"/>
      <c r="C108" s="28"/>
      <c r="D108" s="29"/>
      <c r="E108" s="140" t="s">
        <v>47</v>
      </c>
      <c r="F108" s="62"/>
      <c r="G108" s="30"/>
      <c r="H108" s="62"/>
      <c r="I108" s="62"/>
      <c r="J108" s="30"/>
      <c r="K108" s="30"/>
      <c r="L108" s="30"/>
      <c r="M108" s="88">
        <f>+K107</f>
        <v>0.97650000000000003</v>
      </c>
      <c r="N108" s="24"/>
      <c r="O108" s="24"/>
      <c r="P108" s="24"/>
      <c r="Q108" s="24"/>
      <c r="R108" s="10"/>
      <c r="S108" s="10"/>
      <c r="T108" s="11"/>
      <c r="U108" s="7"/>
    </row>
    <row r="109" spans="1:21">
      <c r="A109" s="3"/>
      <c r="B109" s="8"/>
      <c r="C109" s="28"/>
      <c r="D109" s="29"/>
      <c r="E109" s="192" t="s">
        <v>210</v>
      </c>
      <c r="F109" s="62"/>
      <c r="G109" s="30"/>
      <c r="H109" s="62"/>
      <c r="I109" s="62"/>
      <c r="J109" s="30"/>
      <c r="K109" s="30"/>
      <c r="L109" s="30"/>
      <c r="M109" s="209">
        <f>+M97/M108</f>
        <v>4801594.2423241399</v>
      </c>
      <c r="N109" s="24"/>
      <c r="O109" s="24"/>
      <c r="P109" s="24"/>
      <c r="Q109" s="24"/>
      <c r="R109" s="10"/>
      <c r="S109" s="10"/>
      <c r="T109" s="11"/>
      <c r="U109" s="7"/>
    </row>
    <row r="110" spans="1:21">
      <c r="A110" s="3"/>
      <c r="B110" s="8"/>
      <c r="C110" s="28"/>
      <c r="D110" s="29"/>
      <c r="E110" s="141" t="s">
        <v>89</v>
      </c>
      <c r="F110" s="62"/>
      <c r="G110" s="30"/>
      <c r="H110" s="62"/>
      <c r="I110" s="62"/>
      <c r="J110" s="30"/>
      <c r="K110" s="30"/>
      <c r="L110" s="30"/>
      <c r="M110" s="210">
        <f>+ROUNDDOWN(M109,-2)</f>
        <v>4801500</v>
      </c>
      <c r="N110" s="24"/>
      <c r="O110" s="24"/>
      <c r="P110" s="24"/>
      <c r="Q110" s="24"/>
      <c r="R110" s="10"/>
      <c r="S110" s="190" t="s">
        <v>102</v>
      </c>
      <c r="T110" s="11"/>
      <c r="U110" s="7"/>
    </row>
    <row r="111" spans="1:21" ht="12.75" customHeight="1">
      <c r="A111" s="3"/>
      <c r="B111" s="8"/>
      <c r="C111" s="28"/>
      <c r="D111" s="29" t="s">
        <v>98</v>
      </c>
      <c r="E111" s="30"/>
      <c r="F111" s="30"/>
      <c r="G111" s="30"/>
      <c r="H111" s="30"/>
      <c r="I111" s="30"/>
      <c r="J111" s="30"/>
      <c r="K111" s="30"/>
      <c r="L111" s="30"/>
      <c r="M111" s="24"/>
      <c r="N111" s="24"/>
      <c r="O111" s="24"/>
      <c r="P111" s="24"/>
      <c r="Q111" s="24"/>
      <c r="R111" s="10"/>
      <c r="S111" s="10"/>
      <c r="T111" s="11"/>
      <c r="U111" s="7"/>
    </row>
    <row r="112" spans="1:21">
      <c r="A112" s="3"/>
      <c r="B112" s="8"/>
      <c r="C112" s="28"/>
      <c r="D112" s="62" t="s">
        <v>17</v>
      </c>
      <c r="E112" s="77" t="s">
        <v>41</v>
      </c>
      <c r="F112" s="77"/>
      <c r="G112" s="31"/>
      <c r="H112" s="31"/>
      <c r="I112" s="31"/>
      <c r="J112" s="31"/>
      <c r="K112" s="31"/>
      <c r="L112" s="31"/>
      <c r="M112" s="177">
        <f>+M84</f>
        <v>4659756.7776295226</v>
      </c>
      <c r="N112" s="26"/>
      <c r="O112" s="26"/>
      <c r="P112" s="26"/>
      <c r="Q112" s="10"/>
      <c r="R112" s="10"/>
      <c r="S112" s="10"/>
      <c r="T112" s="11"/>
      <c r="U112" s="7"/>
    </row>
    <row r="113" spans="1:21">
      <c r="A113" s="3"/>
      <c r="B113" s="8"/>
      <c r="C113" s="28"/>
      <c r="D113" s="62" t="s">
        <v>19</v>
      </c>
      <c r="E113" s="77" t="s">
        <v>42</v>
      </c>
      <c r="F113" s="77"/>
      <c r="G113" s="31"/>
      <c r="H113" s="31"/>
      <c r="I113" s="31"/>
      <c r="J113" s="31"/>
      <c r="K113" s="31"/>
      <c r="L113" s="31"/>
      <c r="M113" s="177">
        <f>+M85+M86</f>
        <v>35000</v>
      </c>
      <c r="N113" s="26"/>
      <c r="O113" s="26"/>
      <c r="P113" s="26"/>
      <c r="Q113" s="10"/>
      <c r="R113" s="10"/>
      <c r="S113" s="10"/>
      <c r="T113" s="11"/>
      <c r="U113" s="7"/>
    </row>
    <row r="114" spans="1:21">
      <c r="A114" s="3"/>
      <c r="B114" s="8"/>
      <c r="C114" s="28"/>
      <c r="D114" s="62" t="s">
        <v>20</v>
      </c>
      <c r="E114" s="77" t="s">
        <v>39</v>
      </c>
      <c r="F114" s="77"/>
      <c r="G114" s="31"/>
      <c r="H114" s="31"/>
      <c r="I114" s="31"/>
      <c r="J114" s="31"/>
      <c r="K114" s="31"/>
      <c r="L114" s="31"/>
      <c r="M114" s="177">
        <f>+M88</f>
        <v>0</v>
      </c>
      <c r="N114" s="26"/>
      <c r="O114" s="26"/>
      <c r="P114" s="26"/>
      <c r="Q114" s="10"/>
      <c r="R114" s="10"/>
      <c r="S114" s="10"/>
      <c r="T114" s="11"/>
      <c r="U114" s="7"/>
    </row>
    <row r="115" spans="1:21">
      <c r="A115" s="3"/>
      <c r="B115" s="8"/>
      <c r="C115" s="28"/>
      <c r="D115" s="62" t="s">
        <v>21</v>
      </c>
      <c r="E115" s="48" t="s">
        <v>139</v>
      </c>
      <c r="F115" s="77"/>
      <c r="G115" s="31"/>
      <c r="H115" s="31"/>
      <c r="I115" s="31"/>
      <c r="J115" s="31"/>
      <c r="K115" s="31"/>
      <c r="L115" s="31"/>
      <c r="M115" s="177">
        <f>+H169</f>
        <v>147835.25</v>
      </c>
      <c r="N115" s="26"/>
      <c r="O115" s="26"/>
      <c r="P115" s="37"/>
      <c r="Q115" s="10"/>
      <c r="R115" s="10"/>
      <c r="S115" s="10"/>
      <c r="T115" s="11"/>
      <c r="U115" s="7"/>
    </row>
    <row r="116" spans="1:21">
      <c r="A116" s="3"/>
      <c r="B116" s="8"/>
      <c r="C116" s="28"/>
      <c r="D116" s="62" t="s">
        <v>22</v>
      </c>
      <c r="E116" s="48" t="s">
        <v>43</v>
      </c>
      <c r="F116" s="77"/>
      <c r="G116" s="31"/>
      <c r="H116" s="31"/>
      <c r="I116" s="26"/>
      <c r="J116" s="26"/>
      <c r="K116" s="26"/>
      <c r="L116" s="26"/>
      <c r="M116" s="26"/>
      <c r="N116" s="26"/>
      <c r="O116" s="26"/>
      <c r="P116" s="176">
        <f>ROUNDDOWN(SUM(M112:M115),0)</f>
        <v>4842592</v>
      </c>
      <c r="Q116" s="62"/>
      <c r="R116" s="62"/>
      <c r="S116" s="62"/>
      <c r="T116" s="11"/>
      <c r="U116" s="7"/>
    </row>
    <row r="117" spans="1:21">
      <c r="A117" s="3"/>
      <c r="B117" s="8"/>
      <c r="C117" s="28"/>
      <c r="D117" s="62" t="s">
        <v>23</v>
      </c>
      <c r="E117" s="181" t="s">
        <v>40</v>
      </c>
      <c r="F117" s="36"/>
      <c r="G117" s="37"/>
      <c r="H117" s="37"/>
      <c r="I117" s="37"/>
      <c r="J117" s="37"/>
      <c r="K117" s="37"/>
      <c r="L117" s="37"/>
      <c r="M117" s="37"/>
      <c r="N117" s="37"/>
      <c r="O117" s="37"/>
      <c r="P117" s="62"/>
      <c r="Q117" s="62"/>
      <c r="R117" s="62"/>
      <c r="S117" s="62"/>
      <c r="T117" s="11"/>
      <c r="U117" s="7"/>
    </row>
    <row r="118" spans="1:21">
      <c r="A118" s="3"/>
      <c r="B118" s="8"/>
      <c r="C118" s="28"/>
      <c r="D118" s="62"/>
      <c r="E118" s="104" t="s">
        <v>44</v>
      </c>
      <c r="F118" s="34"/>
      <c r="G118" s="57"/>
      <c r="H118" s="10"/>
      <c r="I118" s="10"/>
      <c r="J118" s="10"/>
      <c r="K118" s="10"/>
      <c r="L118" s="10"/>
      <c r="M118" s="35"/>
      <c r="N118" s="35"/>
      <c r="O118" s="35"/>
      <c r="P118" s="176">
        <f>+M96</f>
        <v>41000</v>
      </c>
      <c r="Q118" s="62"/>
      <c r="R118" s="62"/>
      <c r="S118" s="62"/>
      <c r="T118" s="11"/>
      <c r="U118" s="7"/>
    </row>
    <row r="119" spans="1:21">
      <c r="A119" s="3"/>
      <c r="B119" s="8"/>
      <c r="C119" s="28"/>
      <c r="D119" s="62" t="s">
        <v>24</v>
      </c>
      <c r="E119" s="48" t="s">
        <v>146</v>
      </c>
      <c r="F119" s="31"/>
      <c r="G119" s="31"/>
      <c r="H119" s="31"/>
      <c r="I119" s="31"/>
      <c r="J119" s="31"/>
      <c r="K119" s="31"/>
      <c r="L119" s="31"/>
      <c r="M119" s="26"/>
      <c r="N119" s="26"/>
      <c r="O119" s="26"/>
      <c r="P119" s="176">
        <f>ROUNDDOWN(+P116-P118,-2)</f>
        <v>4801500</v>
      </c>
      <c r="Q119" s="62"/>
      <c r="R119" s="62"/>
      <c r="S119" s="176">
        <f>+P119</f>
        <v>4801500</v>
      </c>
      <c r="T119" s="11"/>
      <c r="U119" s="7"/>
    </row>
    <row r="120" spans="1:21">
      <c r="A120" s="249"/>
      <c r="B120" s="8"/>
      <c r="C120" s="30"/>
      <c r="D120" s="62"/>
      <c r="E120" s="62"/>
      <c r="F120" s="30"/>
      <c r="G120" s="30"/>
      <c r="H120" s="30"/>
      <c r="I120" s="30"/>
      <c r="J120" s="30"/>
      <c r="K120" s="30"/>
      <c r="L120" s="262" t="s">
        <v>145</v>
      </c>
      <c r="M120" s="263">
        <f>+(P116-P118)-P119</f>
        <v>92</v>
      </c>
      <c r="N120" s="24"/>
      <c r="O120" s="62"/>
      <c r="P120" s="162" t="s">
        <v>211</v>
      </c>
      <c r="Q120" s="62"/>
      <c r="R120" s="69"/>
      <c r="S120" s="227">
        <f>+M110-S119</f>
        <v>0</v>
      </c>
      <c r="T120" s="11"/>
      <c r="U120" s="249"/>
    </row>
    <row r="121" spans="1:21">
      <c r="A121" s="3"/>
      <c r="B121" s="49"/>
      <c r="C121" s="264" t="s">
        <v>151</v>
      </c>
      <c r="D121" s="159"/>
      <c r="E121" s="68"/>
      <c r="F121" s="17"/>
      <c r="G121" s="17"/>
      <c r="H121" s="17"/>
      <c r="I121" s="17"/>
      <c r="J121" s="17"/>
      <c r="K121" s="17"/>
      <c r="L121" s="250"/>
      <c r="M121" s="251"/>
      <c r="N121" s="92"/>
      <c r="O121" s="68"/>
      <c r="P121" s="265"/>
      <c r="Q121" s="68"/>
      <c r="R121" s="159"/>
      <c r="S121" s="266"/>
      <c r="T121" s="51"/>
      <c r="U121" s="7"/>
    </row>
    <row r="122" spans="1:21">
      <c r="A122" s="143"/>
      <c r="B122" s="254"/>
      <c r="C122" s="254"/>
      <c r="D122" s="254"/>
      <c r="E122" s="254"/>
      <c r="F122" s="254"/>
      <c r="G122" s="254"/>
      <c r="H122" s="254"/>
      <c r="I122" s="254"/>
      <c r="J122" s="254"/>
      <c r="K122" s="254"/>
      <c r="L122" s="254"/>
      <c r="M122" s="254"/>
      <c r="N122" s="254"/>
      <c r="O122" s="254"/>
      <c r="P122" s="255"/>
      <c r="Q122" s="256"/>
      <c r="R122" s="256"/>
      <c r="S122" s="257"/>
      <c r="T122" s="180" t="str">
        <f ca="1">MID(CELL("filename"),SEARCH("[",CELL("filename"))+1, SEARCH("]",CELL("filename"))-SEARCH("[",CELL("filename"))-1)</f>
        <v>huddoc</v>
      </c>
      <c r="U122" s="258"/>
    </row>
    <row r="123" spans="1:21">
      <c r="A123" s="148"/>
      <c r="B123" s="149"/>
      <c r="C123" s="149"/>
      <c r="D123" s="149"/>
      <c r="E123" s="149"/>
      <c r="F123" s="149"/>
      <c r="G123" s="149"/>
      <c r="H123" s="149"/>
      <c r="I123" s="149"/>
      <c r="J123" s="149"/>
      <c r="K123" s="149"/>
      <c r="L123" s="149"/>
      <c r="M123" s="149"/>
      <c r="N123" s="149"/>
      <c r="O123" s="149"/>
      <c r="P123" s="150"/>
      <c r="Q123" s="151"/>
      <c r="R123" s="151"/>
      <c r="S123" s="152"/>
      <c r="T123" s="149"/>
      <c r="U123" s="269">
        <v>3</v>
      </c>
    </row>
    <row r="124" spans="1:21">
      <c r="A124" s="78"/>
      <c r="B124" s="4"/>
      <c r="C124" s="96"/>
      <c r="D124" s="97"/>
      <c r="E124" s="98"/>
      <c r="F124" s="98" t="s">
        <v>53</v>
      </c>
      <c r="G124" s="308" t="str">
        <f>+G57</f>
        <v>Oak Tree Manor Apartments</v>
      </c>
      <c r="H124" s="308"/>
      <c r="I124" s="308"/>
      <c r="J124" s="40"/>
      <c r="K124" s="60"/>
      <c r="L124" s="40"/>
      <c r="M124" s="98" t="s">
        <v>51</v>
      </c>
      <c r="N124" s="309" t="str">
        <f>+N57</f>
        <v>123-45678</v>
      </c>
      <c r="O124" s="309"/>
      <c r="P124" s="309"/>
      <c r="Q124" s="309"/>
      <c r="R124" s="309"/>
      <c r="S124" s="60"/>
      <c r="T124" s="61"/>
      <c r="U124" s="80"/>
    </row>
    <row r="125" spans="1:21">
      <c r="A125" s="78"/>
      <c r="B125" s="8"/>
      <c r="C125" s="93"/>
      <c r="D125" s="62"/>
      <c r="E125" s="94"/>
      <c r="F125" s="94" t="s">
        <v>54</v>
      </c>
      <c r="G125" s="308" t="str">
        <f>+G58</f>
        <v>Springfield, MO</v>
      </c>
      <c r="H125" s="308"/>
      <c r="I125" s="308"/>
      <c r="J125" s="30"/>
      <c r="K125" s="62"/>
      <c r="L125" s="30"/>
      <c r="M125" s="94" t="s">
        <v>52</v>
      </c>
      <c r="N125" s="309" t="str">
        <f>+N58</f>
        <v>Oak Tree Manor LP</v>
      </c>
      <c r="O125" s="309"/>
      <c r="P125" s="309"/>
      <c r="Q125" s="309"/>
      <c r="R125" s="309"/>
      <c r="S125" s="21"/>
      <c r="T125" s="90"/>
      <c r="U125" s="80"/>
    </row>
    <row r="126" spans="1:21">
      <c r="A126" s="78"/>
      <c r="B126" s="49"/>
      <c r="C126" s="15"/>
      <c r="D126" s="16"/>
      <c r="E126" s="142"/>
      <c r="F126" s="142" t="s">
        <v>55</v>
      </c>
      <c r="G126" s="308" t="str">
        <f>+G59</f>
        <v>FHA Capital Mortgage, Inc.</v>
      </c>
      <c r="H126" s="308"/>
      <c r="I126" s="308"/>
      <c r="J126" s="17"/>
      <c r="K126" s="17"/>
      <c r="L126" s="17"/>
      <c r="M126" s="142"/>
      <c r="N126" s="17"/>
      <c r="O126" s="17"/>
      <c r="P126" s="19"/>
      <c r="Q126" s="19"/>
      <c r="R126" s="19"/>
      <c r="S126" s="91"/>
      <c r="T126" s="22"/>
      <c r="U126" s="80"/>
    </row>
    <row r="127" spans="1:21">
      <c r="A127" s="78"/>
      <c r="B127" s="79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81"/>
      <c r="Q127" s="82"/>
      <c r="R127" s="82"/>
      <c r="S127" s="83"/>
      <c r="T127" s="79"/>
      <c r="U127" s="80"/>
    </row>
    <row r="128" spans="1:21">
      <c r="A128" s="3"/>
      <c r="B128" s="4"/>
      <c r="C128" s="40"/>
      <c r="D128" s="60"/>
      <c r="E128" s="60"/>
      <c r="F128" s="40"/>
      <c r="G128" s="40"/>
      <c r="H128" s="40"/>
      <c r="I128" s="40"/>
      <c r="J128" s="40"/>
      <c r="K128" s="40"/>
      <c r="L128" s="40"/>
      <c r="M128" s="13"/>
      <c r="N128" s="13"/>
      <c r="O128" s="60"/>
      <c r="P128" s="246"/>
      <c r="Q128" s="60"/>
      <c r="R128" s="97"/>
      <c r="S128" s="247"/>
      <c r="T128" s="6"/>
      <c r="U128" s="7"/>
    </row>
    <row r="129" spans="1:21">
      <c r="A129" s="3"/>
      <c r="B129" s="8"/>
      <c r="C129" s="9" t="s">
        <v>111</v>
      </c>
      <c r="D129" s="9" t="s">
        <v>172</v>
      </c>
      <c r="E129" s="62"/>
      <c r="F129" s="30"/>
      <c r="G129" s="30"/>
      <c r="H129" s="30"/>
      <c r="I129" s="30"/>
      <c r="J129" s="30"/>
      <c r="K129" s="30"/>
      <c r="L129" s="30"/>
      <c r="M129" s="24"/>
      <c r="N129" s="24"/>
      <c r="O129" s="62"/>
      <c r="P129" s="162"/>
      <c r="Q129" s="62"/>
      <c r="R129" s="69"/>
      <c r="S129" s="227"/>
      <c r="T129" s="11"/>
      <c r="U129" s="7"/>
    </row>
    <row r="130" spans="1:21">
      <c r="A130" s="3"/>
      <c r="B130" s="8"/>
      <c r="C130" s="30"/>
      <c r="D130" s="62"/>
      <c r="E130" s="62"/>
      <c r="F130" s="30"/>
      <c r="G130" s="30"/>
      <c r="H130" s="30"/>
      <c r="I130" s="30"/>
      <c r="J130" s="30"/>
      <c r="K130" s="30"/>
      <c r="L130" s="30"/>
      <c r="M130" s="24"/>
      <c r="N130" s="24"/>
      <c r="O130" s="62"/>
      <c r="P130" s="162"/>
      <c r="Q130" s="162"/>
      <c r="R130" s="162"/>
      <c r="S130" s="227"/>
      <c r="T130" s="11"/>
      <c r="U130" s="7"/>
    </row>
    <row r="131" spans="1:21">
      <c r="A131" s="3"/>
      <c r="B131" s="8"/>
      <c r="C131" s="30"/>
      <c r="D131" s="62"/>
      <c r="E131" s="123" t="s">
        <v>92</v>
      </c>
      <c r="F131" s="30"/>
      <c r="G131" s="30"/>
      <c r="H131" s="30"/>
      <c r="I131" s="30"/>
      <c r="J131" s="30"/>
      <c r="K131" s="30"/>
      <c r="L131" s="30"/>
      <c r="M131" s="123" t="s">
        <v>177</v>
      </c>
      <c r="N131" s="24"/>
      <c r="O131" s="62"/>
      <c r="P131" s="162"/>
      <c r="Q131" s="162"/>
      <c r="R131" s="162"/>
      <c r="S131" s="227"/>
      <c r="T131" s="11"/>
      <c r="U131" s="7"/>
    </row>
    <row r="132" spans="1:21">
      <c r="A132" s="3"/>
      <c r="B132" s="8"/>
      <c r="C132" s="30"/>
      <c r="D132" s="62"/>
      <c r="E132" s="10" t="s">
        <v>174</v>
      </c>
      <c r="F132" s="30"/>
      <c r="G132" s="30"/>
      <c r="H132" s="30"/>
      <c r="I132" s="30"/>
      <c r="J132" s="30"/>
      <c r="K132" s="292">
        <f>+K34</f>
        <v>4800000</v>
      </c>
      <c r="L132" s="30"/>
      <c r="M132" s="10" t="s">
        <v>178</v>
      </c>
      <c r="N132" s="24"/>
      <c r="O132" s="62"/>
      <c r="P132" s="162"/>
      <c r="Q132" s="162"/>
      <c r="R132" s="162"/>
      <c r="S132" s="227"/>
      <c r="T132" s="11"/>
      <c r="U132" s="7"/>
    </row>
    <row r="133" spans="1:21">
      <c r="A133" s="3"/>
      <c r="B133" s="8"/>
      <c r="C133" s="30"/>
      <c r="D133" s="62"/>
      <c r="E133" s="62" t="s">
        <v>202</v>
      </c>
      <c r="F133" s="30"/>
      <c r="G133" s="30"/>
      <c r="H133" s="30"/>
      <c r="I133" s="30"/>
      <c r="J133" s="30"/>
      <c r="K133" s="30"/>
      <c r="L133" s="30"/>
      <c r="M133" s="84" t="s">
        <v>179</v>
      </c>
      <c r="N133" s="24"/>
      <c r="O133" s="62"/>
      <c r="P133" s="162"/>
      <c r="Q133" s="162"/>
      <c r="R133" s="162"/>
      <c r="S133" s="292">
        <f>+K20</f>
        <v>4570637.6481840024</v>
      </c>
      <c r="T133" s="11"/>
      <c r="U133" s="7"/>
    </row>
    <row r="134" spans="1:21">
      <c r="A134" s="3"/>
      <c r="B134" s="8"/>
      <c r="C134" s="30"/>
      <c r="D134" s="62"/>
      <c r="E134" s="62"/>
      <c r="F134" s="100" t="s">
        <v>173</v>
      </c>
      <c r="G134" s="30"/>
      <c r="H134" s="30"/>
      <c r="I134" s="30"/>
      <c r="J134" s="30"/>
      <c r="K134" s="292">
        <f>+K36</f>
        <v>48000</v>
      </c>
      <c r="L134" s="30"/>
      <c r="M134" s="10" t="s">
        <v>180</v>
      </c>
      <c r="N134" s="24"/>
      <c r="O134" s="62"/>
      <c r="P134" s="162"/>
      <c r="Q134" s="162"/>
      <c r="R134" s="162"/>
      <c r="S134" s="227"/>
      <c r="T134" s="11"/>
      <c r="U134" s="7"/>
    </row>
    <row r="135" spans="1:21">
      <c r="A135" s="3"/>
      <c r="B135" s="8"/>
      <c r="C135" s="30"/>
      <c r="D135" s="62"/>
      <c r="E135" s="62" t="s">
        <v>175</v>
      </c>
      <c r="F135" s="30"/>
      <c r="G135" s="30"/>
      <c r="H135" s="30"/>
      <c r="I135" s="30"/>
      <c r="J135" s="30"/>
      <c r="K135" s="30"/>
      <c r="L135" s="30"/>
      <c r="M135" s="62" t="s">
        <v>181</v>
      </c>
      <c r="N135" s="24"/>
      <c r="O135" s="62"/>
      <c r="P135" s="162"/>
      <c r="Q135" s="162"/>
      <c r="R135" s="162"/>
      <c r="S135" s="292">
        <f>+K25</f>
        <v>12000</v>
      </c>
      <c r="T135" s="11"/>
      <c r="U135" s="7"/>
    </row>
    <row r="136" spans="1:21" ht="16.2">
      <c r="A136" s="3"/>
      <c r="B136" s="8"/>
      <c r="C136" s="30"/>
      <c r="D136" s="62"/>
      <c r="E136" s="62"/>
      <c r="F136" s="100" t="s">
        <v>176</v>
      </c>
      <c r="G136" s="30"/>
      <c r="H136" s="30"/>
      <c r="I136" s="30"/>
      <c r="J136" s="30"/>
      <c r="K136" s="294">
        <f>+K43</f>
        <v>2000</v>
      </c>
      <c r="L136" s="30"/>
      <c r="M136" s="10" t="s">
        <v>59</v>
      </c>
      <c r="N136" s="24"/>
      <c r="O136" s="62"/>
      <c r="P136" s="162"/>
      <c r="Q136" s="162"/>
      <c r="R136" s="162"/>
      <c r="S136" s="292">
        <f>+K24</f>
        <v>10000</v>
      </c>
      <c r="T136" s="11"/>
      <c r="U136" s="7"/>
    </row>
    <row r="137" spans="1:21">
      <c r="A137" s="3"/>
      <c r="B137" s="8"/>
      <c r="C137" s="30"/>
      <c r="D137" s="62"/>
      <c r="E137" s="62"/>
      <c r="F137" s="30"/>
      <c r="G137" s="30"/>
      <c r="H137" s="30"/>
      <c r="I137" s="30"/>
      <c r="J137" s="30"/>
      <c r="K137" s="30"/>
      <c r="L137" s="30"/>
      <c r="M137" s="10" t="s">
        <v>182</v>
      </c>
      <c r="N137" s="24"/>
      <c r="O137" s="62"/>
      <c r="P137" s="162"/>
      <c r="Q137" s="162"/>
      <c r="R137" s="162"/>
      <c r="S137" s="292">
        <f>+K21</f>
        <v>137119.12944552006</v>
      </c>
      <c r="T137" s="11"/>
      <c r="U137" s="7"/>
    </row>
    <row r="138" spans="1:21">
      <c r="A138" s="3"/>
      <c r="B138" s="8"/>
      <c r="C138" s="30"/>
      <c r="D138" s="62"/>
      <c r="E138" s="62"/>
      <c r="F138" s="30"/>
      <c r="G138" s="30"/>
      <c r="H138" s="30"/>
      <c r="I138" s="30"/>
      <c r="J138" s="30"/>
      <c r="K138" s="30"/>
      <c r="L138" s="30"/>
      <c r="M138" s="10" t="s">
        <v>183</v>
      </c>
      <c r="N138" s="24"/>
      <c r="O138" s="62"/>
      <c r="P138" s="162"/>
      <c r="Q138" s="162"/>
      <c r="R138" s="162"/>
      <c r="S138" s="292"/>
      <c r="T138" s="11"/>
      <c r="U138" s="7"/>
    </row>
    <row r="139" spans="1:21" ht="16.2">
      <c r="A139" s="3"/>
      <c r="B139" s="8"/>
      <c r="C139" s="30"/>
      <c r="D139" s="62"/>
      <c r="E139" s="62"/>
      <c r="F139" s="30"/>
      <c r="G139" s="30"/>
      <c r="H139" s="30"/>
      <c r="I139" s="30"/>
      <c r="J139" s="30"/>
      <c r="K139" s="295"/>
      <c r="L139" s="30"/>
      <c r="M139" s="62" t="s">
        <v>184</v>
      </c>
      <c r="N139" s="24"/>
      <c r="O139" s="62"/>
      <c r="P139" s="162"/>
      <c r="Q139" s="162"/>
      <c r="R139" s="162"/>
      <c r="S139" s="294">
        <f>+K43</f>
        <v>2000</v>
      </c>
      <c r="T139" s="11"/>
      <c r="U139" s="7"/>
    </row>
    <row r="140" spans="1:21">
      <c r="A140" s="3"/>
      <c r="B140" s="8"/>
      <c r="C140" s="30"/>
      <c r="D140" s="62"/>
      <c r="E140" s="62"/>
      <c r="F140" s="62" t="s">
        <v>186</v>
      </c>
      <c r="G140" s="30"/>
      <c r="H140" s="30"/>
      <c r="I140" s="30"/>
      <c r="J140" s="30"/>
      <c r="K140" s="292">
        <f>+K132+K134+K136</f>
        <v>4850000</v>
      </c>
      <c r="L140" s="30"/>
      <c r="M140" s="62" t="s">
        <v>185</v>
      </c>
      <c r="N140" s="24"/>
      <c r="O140" s="62"/>
      <c r="P140" s="162"/>
      <c r="Q140" s="162"/>
      <c r="R140" s="162"/>
      <c r="S140" s="292">
        <f>+S133+S135+S136+S137+S139</f>
        <v>4731756.7776295226</v>
      </c>
      <c r="T140" s="11"/>
      <c r="U140" s="7"/>
    </row>
    <row r="141" spans="1:21">
      <c r="A141" s="3"/>
      <c r="B141" s="8"/>
      <c r="C141" s="30"/>
      <c r="D141" s="62"/>
      <c r="F141" s="62" t="s">
        <v>199</v>
      </c>
      <c r="G141" s="30"/>
      <c r="H141" s="30"/>
      <c r="I141" s="30"/>
      <c r="J141" s="30"/>
      <c r="K141" s="292"/>
      <c r="L141" s="30"/>
      <c r="M141" s="62" t="s">
        <v>200</v>
      </c>
      <c r="N141" s="24"/>
      <c r="O141" s="62"/>
      <c r="P141" s="162"/>
      <c r="Q141" s="162"/>
      <c r="R141" s="162"/>
      <c r="S141" s="292"/>
      <c r="T141" s="11"/>
      <c r="U141" s="7"/>
    </row>
    <row r="142" spans="1:21" ht="16.2">
      <c r="A142" s="3"/>
      <c r="B142" s="8"/>
      <c r="C142" s="30"/>
      <c r="D142" s="62"/>
      <c r="E142" s="62"/>
      <c r="F142" s="299" t="s">
        <v>203</v>
      </c>
      <c r="G142" s="30"/>
      <c r="H142" s="30"/>
      <c r="I142" s="30"/>
      <c r="J142" s="30"/>
      <c r="K142" s="294">
        <f>+K143-K140</f>
        <v>40556.777629522607</v>
      </c>
      <c r="L142" s="30"/>
      <c r="M142" s="299" t="s">
        <v>201</v>
      </c>
      <c r="N142" s="24"/>
      <c r="O142" s="62"/>
      <c r="P142" s="162"/>
      <c r="Q142" s="162"/>
      <c r="R142" s="162"/>
      <c r="S142" s="294">
        <f>+S143-S140</f>
        <v>158800</v>
      </c>
      <c r="T142" s="11"/>
      <c r="U142" s="7"/>
    </row>
    <row r="143" spans="1:21" ht="16.2">
      <c r="A143" s="3"/>
      <c r="B143" s="8"/>
      <c r="C143" s="30"/>
      <c r="D143" s="62"/>
      <c r="E143" s="62"/>
      <c r="F143" s="62" t="s">
        <v>187</v>
      </c>
      <c r="G143" s="30"/>
      <c r="H143" s="30"/>
      <c r="I143" s="30"/>
      <c r="J143" s="30"/>
      <c r="K143" s="293">
        <f>+K31</f>
        <v>4890556.7776295226</v>
      </c>
      <c r="L143" s="30"/>
      <c r="M143" s="62" t="s">
        <v>188</v>
      </c>
      <c r="N143" s="24"/>
      <c r="O143" s="62"/>
      <c r="P143" s="162"/>
      <c r="Q143" s="162"/>
      <c r="R143" s="162"/>
      <c r="S143" s="293">
        <f>+K31</f>
        <v>4890556.7776295226</v>
      </c>
      <c r="T143" s="11"/>
      <c r="U143" s="7"/>
    </row>
    <row r="144" spans="1:21">
      <c r="A144" s="3"/>
      <c r="B144" s="49"/>
      <c r="C144" s="17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51"/>
      <c r="U144" s="7"/>
    </row>
    <row r="145" spans="1:21">
      <c r="A145" s="52"/>
      <c r="B145" s="53"/>
      <c r="C145" s="53"/>
      <c r="D145" s="54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180" t="str">
        <f ca="1">MID(CELL("filename"),SEARCH("[",CELL("filename"))+1, SEARCH("]",CELL("filename"))-SEARCH("[",CELL("filename"))-1)</f>
        <v>huddoc</v>
      </c>
      <c r="T145" s="53"/>
      <c r="U145" s="55"/>
    </row>
    <row r="146" spans="1:21">
      <c r="A146" s="148"/>
      <c r="B146" s="149"/>
      <c r="C146" s="149"/>
      <c r="D146" s="149"/>
      <c r="E146" s="149"/>
      <c r="F146" s="149"/>
      <c r="G146" s="149"/>
      <c r="H146" s="149"/>
      <c r="I146" s="149"/>
      <c r="J146" s="149"/>
      <c r="K146" s="149"/>
      <c r="L146" s="149"/>
      <c r="M146" s="149"/>
      <c r="N146" s="149"/>
      <c r="O146" s="149"/>
      <c r="P146" s="150"/>
      <c r="Q146" s="151"/>
      <c r="R146" s="151"/>
      <c r="S146" s="152"/>
      <c r="T146" s="149"/>
      <c r="U146" s="269">
        <v>4</v>
      </c>
    </row>
    <row r="147" spans="1:21">
      <c r="A147" s="78"/>
      <c r="B147" s="4"/>
      <c r="C147" s="96"/>
      <c r="D147" s="97"/>
      <c r="E147" s="98"/>
      <c r="F147" s="98" t="s">
        <v>53</v>
      </c>
      <c r="G147" s="308" t="str">
        <f>+G124</f>
        <v>Oak Tree Manor Apartments</v>
      </c>
      <c r="H147" s="308"/>
      <c r="I147" s="308"/>
      <c r="J147" s="40"/>
      <c r="K147" s="60"/>
      <c r="L147" s="40"/>
      <c r="M147" s="98" t="s">
        <v>51</v>
      </c>
      <c r="N147" s="309" t="str">
        <f>+N124</f>
        <v>123-45678</v>
      </c>
      <c r="O147" s="309"/>
      <c r="P147" s="309"/>
      <c r="Q147" s="309"/>
      <c r="R147" s="309"/>
      <c r="S147" s="60"/>
      <c r="T147" s="61"/>
      <c r="U147" s="80"/>
    </row>
    <row r="148" spans="1:21">
      <c r="A148" s="78"/>
      <c r="B148" s="8"/>
      <c r="C148" s="93"/>
      <c r="D148" s="62"/>
      <c r="E148" s="94"/>
      <c r="F148" s="94" t="s">
        <v>54</v>
      </c>
      <c r="G148" s="308" t="str">
        <f>+G125</f>
        <v>Springfield, MO</v>
      </c>
      <c r="H148" s="308"/>
      <c r="I148" s="308"/>
      <c r="J148" s="30"/>
      <c r="K148" s="62"/>
      <c r="L148" s="30"/>
      <c r="M148" s="94" t="s">
        <v>52</v>
      </c>
      <c r="N148" s="309" t="str">
        <f>+N125</f>
        <v>Oak Tree Manor LP</v>
      </c>
      <c r="O148" s="309"/>
      <c r="P148" s="309"/>
      <c r="Q148" s="309"/>
      <c r="R148" s="309"/>
      <c r="S148" s="21"/>
      <c r="T148" s="90"/>
      <c r="U148" s="80"/>
    </row>
    <row r="149" spans="1:21">
      <c r="A149" s="78"/>
      <c r="B149" s="49"/>
      <c r="C149" s="15"/>
      <c r="D149" s="16"/>
      <c r="E149" s="142"/>
      <c r="F149" s="142" t="s">
        <v>55</v>
      </c>
      <c r="G149" s="308" t="str">
        <f>+G126</f>
        <v>FHA Capital Mortgage, Inc.</v>
      </c>
      <c r="H149" s="308"/>
      <c r="I149" s="308"/>
      <c r="J149" s="17"/>
      <c r="K149" s="17"/>
      <c r="L149" s="17"/>
      <c r="M149" s="142"/>
      <c r="N149" s="17"/>
      <c r="O149" s="17"/>
      <c r="P149" s="19"/>
      <c r="Q149" s="19"/>
      <c r="R149" s="19"/>
      <c r="S149" s="91"/>
      <c r="T149" s="22"/>
      <c r="U149" s="80"/>
    </row>
    <row r="150" spans="1:21">
      <c r="A150" s="78"/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81"/>
      <c r="Q150" s="82"/>
      <c r="R150" s="82"/>
      <c r="S150" s="83"/>
      <c r="T150" s="79"/>
      <c r="U150" s="80"/>
    </row>
    <row r="151" spans="1:21">
      <c r="A151" s="3"/>
      <c r="B151" s="4"/>
      <c r="C151" s="215"/>
      <c r="D151" s="305"/>
      <c r="E151" s="60"/>
      <c r="F151" s="40"/>
      <c r="G151" s="40"/>
      <c r="H151" s="40"/>
      <c r="I151" s="40"/>
      <c r="J151" s="40"/>
      <c r="K151" s="40"/>
      <c r="L151" s="40"/>
      <c r="M151" s="13"/>
      <c r="N151" s="13"/>
      <c r="O151" s="60"/>
      <c r="P151" s="246"/>
      <c r="Q151" s="60"/>
      <c r="R151" s="247"/>
      <c r="S151" s="306"/>
      <c r="T151" s="6"/>
      <c r="U151" s="7"/>
    </row>
    <row r="152" spans="1:21">
      <c r="A152" s="3"/>
      <c r="B152" s="8"/>
      <c r="C152" s="9" t="s">
        <v>111</v>
      </c>
      <c r="D152" s="237" t="s">
        <v>218</v>
      </c>
      <c r="E152" s="62"/>
      <c r="F152" s="30"/>
      <c r="G152" s="30"/>
      <c r="H152" s="30"/>
      <c r="I152" s="30"/>
      <c r="J152" s="30"/>
      <c r="K152" s="30"/>
      <c r="L152" s="30"/>
      <c r="M152" s="24"/>
      <c r="N152" s="24"/>
      <c r="O152" s="24"/>
      <c r="P152" s="62"/>
      <c r="Q152" s="62"/>
      <c r="R152" s="62"/>
      <c r="S152" s="62"/>
      <c r="T152" s="11"/>
      <c r="U152" s="7"/>
    </row>
    <row r="153" spans="1:21">
      <c r="A153" s="3"/>
      <c r="B153" s="8"/>
      <c r="C153" s="30"/>
      <c r="D153" s="191" t="s">
        <v>197</v>
      </c>
      <c r="E153" s="62"/>
      <c r="F153" s="30"/>
      <c r="G153" s="30"/>
      <c r="H153" s="30"/>
      <c r="I153" s="30"/>
      <c r="J153" s="30"/>
      <c r="K153" s="30"/>
      <c r="L153" s="30"/>
      <c r="M153" s="24"/>
      <c r="N153" s="24"/>
      <c r="O153" s="24"/>
      <c r="P153" s="62"/>
      <c r="Q153" s="62"/>
      <c r="R153" s="62"/>
      <c r="S153" s="62"/>
      <c r="T153" s="11"/>
      <c r="U153" s="7"/>
    </row>
    <row r="154" spans="1:21">
      <c r="A154" s="3"/>
      <c r="B154" s="8"/>
      <c r="C154" s="30"/>
      <c r="D154" s="191"/>
      <c r="E154" s="62"/>
      <c r="F154" s="30"/>
      <c r="G154" s="30"/>
      <c r="H154" s="30"/>
      <c r="I154" s="30"/>
      <c r="J154" s="30"/>
      <c r="K154" s="30"/>
      <c r="L154" s="30"/>
      <c r="M154" s="24"/>
      <c r="N154" s="24"/>
      <c r="O154" s="24"/>
      <c r="P154" s="62"/>
      <c r="Q154" s="62"/>
      <c r="R154" s="62"/>
      <c r="S154" s="62"/>
      <c r="T154" s="11"/>
      <c r="U154" s="7"/>
    </row>
    <row r="155" spans="1:21">
      <c r="A155" s="3"/>
      <c r="B155" s="8"/>
      <c r="C155" s="30"/>
      <c r="E155" s="62" t="s">
        <v>219</v>
      </c>
      <c r="F155" s="30"/>
      <c r="G155" s="30"/>
      <c r="H155" s="30"/>
      <c r="I155" s="292">
        <f>+S16</f>
        <v>4801500</v>
      </c>
      <c r="J155" s="30"/>
      <c r="K155" s="30"/>
      <c r="L155" s="62" t="s">
        <v>220</v>
      </c>
      <c r="M155" s="24"/>
      <c r="N155" s="24"/>
      <c r="O155" s="24"/>
      <c r="P155" s="62"/>
      <c r="Q155" s="62"/>
      <c r="R155" s="62"/>
      <c r="S155" s="189">
        <f>+K132</f>
        <v>4800000</v>
      </c>
      <c r="T155" s="11"/>
      <c r="U155" s="7"/>
    </row>
    <row r="156" spans="1:21">
      <c r="A156" s="3"/>
      <c r="B156" s="8"/>
      <c r="C156" s="30"/>
      <c r="D156" s="187" t="s">
        <v>94</v>
      </c>
      <c r="E156" s="116" t="s">
        <v>194</v>
      </c>
      <c r="F156" s="39"/>
      <c r="G156" s="39"/>
      <c r="H156" s="40"/>
      <c r="I156" s="40"/>
      <c r="J156" s="113"/>
      <c r="K156" s="188" t="s">
        <v>101</v>
      </c>
      <c r="L156" s="116" t="s">
        <v>60</v>
      </c>
      <c r="M156" s="39"/>
      <c r="N156" s="39"/>
      <c r="O156" s="40"/>
      <c r="P156" s="40"/>
      <c r="Q156" s="40"/>
      <c r="R156" s="5"/>
      <c r="S156" s="6"/>
      <c r="T156" s="11"/>
      <c r="U156" s="7"/>
    </row>
    <row r="157" spans="1:21">
      <c r="A157" s="3"/>
      <c r="B157" s="8"/>
      <c r="C157" s="30"/>
      <c r="D157" s="187"/>
      <c r="E157" s="115" t="s">
        <v>195</v>
      </c>
      <c r="F157" s="29"/>
      <c r="G157" s="29"/>
      <c r="H157" s="30"/>
      <c r="I157" s="30"/>
      <c r="J157" s="90"/>
      <c r="K157" s="188"/>
      <c r="L157" s="115"/>
      <c r="M157" s="29"/>
      <c r="N157" s="29"/>
      <c r="O157" s="30"/>
      <c r="P157" s="30"/>
      <c r="Q157" s="30"/>
      <c r="R157" s="10"/>
      <c r="S157" s="11"/>
      <c r="T157" s="11"/>
      <c r="U157" s="7"/>
    </row>
    <row r="158" spans="1:21">
      <c r="A158" s="3"/>
      <c r="B158" s="8"/>
      <c r="C158" s="30"/>
      <c r="D158" s="30"/>
      <c r="E158" s="115" t="s">
        <v>196</v>
      </c>
      <c r="F158" s="29"/>
      <c r="G158" s="29"/>
      <c r="H158" s="30"/>
      <c r="I158" s="30"/>
      <c r="J158" s="90"/>
      <c r="K158" s="30"/>
      <c r="L158" s="115" t="s">
        <v>96</v>
      </c>
      <c r="M158" s="29"/>
      <c r="N158" s="29"/>
      <c r="O158" s="30"/>
      <c r="P158" s="30"/>
      <c r="Q158" s="30"/>
      <c r="R158" s="10"/>
      <c r="S158" s="11"/>
      <c r="T158" s="11"/>
      <c r="U158" s="7"/>
    </row>
    <row r="159" spans="1:21">
      <c r="A159" s="3"/>
      <c r="B159" s="8"/>
      <c r="C159" s="28"/>
      <c r="D159" s="29"/>
      <c r="E159" s="114" t="s">
        <v>10</v>
      </c>
      <c r="F159" s="29"/>
      <c r="G159" s="10"/>
      <c r="H159" s="58">
        <f t="shared" ref="H159:H164" si="0">K100*$M$110</f>
        <v>21606.75</v>
      </c>
      <c r="I159" s="10"/>
      <c r="J159" s="11"/>
      <c r="K159" s="10"/>
      <c r="L159" s="114" t="s">
        <v>10</v>
      </c>
      <c r="M159" s="29"/>
      <c r="N159" s="10"/>
      <c r="O159" s="62"/>
      <c r="P159" s="58">
        <f t="shared" ref="P159" si="1">K100*$I$8</f>
        <v>21600</v>
      </c>
      <c r="Q159" s="10"/>
      <c r="R159" s="10"/>
      <c r="S159" s="11"/>
      <c r="T159" s="11"/>
      <c r="U159" s="7"/>
    </row>
    <row r="160" spans="1:21">
      <c r="A160" s="3"/>
      <c r="B160" s="8"/>
      <c r="C160" s="10"/>
      <c r="D160" s="30"/>
      <c r="E160" s="114" t="s">
        <v>9</v>
      </c>
      <c r="F160" s="29"/>
      <c r="G160" s="30"/>
      <c r="H160" s="58">
        <f t="shared" si="0"/>
        <v>7202.25</v>
      </c>
      <c r="I160" s="30"/>
      <c r="J160" s="90"/>
      <c r="K160" s="30"/>
      <c r="L160" s="114" t="s">
        <v>9</v>
      </c>
      <c r="M160" s="29"/>
      <c r="N160" s="30"/>
      <c r="O160" s="62"/>
      <c r="P160" s="58">
        <f>K101*$I$8</f>
        <v>7200</v>
      </c>
      <c r="Q160" s="30"/>
      <c r="R160" s="10"/>
      <c r="S160" s="11"/>
      <c r="T160" s="11"/>
      <c r="U160" s="7"/>
    </row>
    <row r="161" spans="1:21">
      <c r="A161" s="3"/>
      <c r="B161" s="8"/>
      <c r="C161" s="10"/>
      <c r="D161" s="30"/>
      <c r="E161" s="114" t="s">
        <v>8</v>
      </c>
      <c r="F161" s="29"/>
      <c r="G161" s="30"/>
      <c r="H161" s="58">
        <f t="shared" si="0"/>
        <v>24007.5</v>
      </c>
      <c r="I161" s="330" t="s">
        <v>11</v>
      </c>
      <c r="J161" s="331"/>
      <c r="K161" s="30"/>
      <c r="L161" s="114" t="s">
        <v>8</v>
      </c>
      <c r="M161" s="29"/>
      <c r="N161" s="30"/>
      <c r="O161" s="62"/>
      <c r="P161" s="58">
        <f>K102*$I$8</f>
        <v>24000</v>
      </c>
      <c r="Q161" s="30"/>
      <c r="R161" s="10"/>
      <c r="S161" s="117" t="s">
        <v>11</v>
      </c>
      <c r="T161" s="11"/>
      <c r="U161" s="7"/>
    </row>
    <row r="162" spans="1:21">
      <c r="A162" s="3"/>
      <c r="B162" s="8"/>
      <c r="C162" s="10"/>
      <c r="D162" s="30"/>
      <c r="E162" s="114" t="s">
        <v>6</v>
      </c>
      <c r="F162" s="29"/>
      <c r="G162" s="30"/>
      <c r="H162" s="58">
        <f t="shared" si="0"/>
        <v>60018.75</v>
      </c>
      <c r="I162" s="332" t="s">
        <v>198</v>
      </c>
      <c r="J162" s="333"/>
      <c r="K162" s="30"/>
      <c r="L162" s="114" t="s">
        <v>6</v>
      </c>
      <c r="M162" s="29"/>
      <c r="N162" s="30"/>
      <c r="O162" s="62"/>
      <c r="P162" s="58">
        <f>K103*$I$8</f>
        <v>60000</v>
      </c>
      <c r="Q162" s="30"/>
      <c r="R162" s="10"/>
      <c r="S162" s="118" t="s">
        <v>198</v>
      </c>
      <c r="T162" s="11"/>
      <c r="U162" s="7"/>
    </row>
    <row r="163" spans="1:21">
      <c r="A163" s="3"/>
      <c r="B163" s="8"/>
      <c r="C163" s="10"/>
      <c r="D163" s="30"/>
      <c r="E163" s="114" t="s">
        <v>5</v>
      </c>
      <c r="F163" s="29"/>
      <c r="G163" s="30"/>
      <c r="H163" s="58">
        <f t="shared" si="0"/>
        <v>0</v>
      </c>
      <c r="I163" s="328">
        <f>+H159+H160+H161+H162+H163</f>
        <v>112835.25</v>
      </c>
      <c r="J163" s="329"/>
      <c r="K163" s="30"/>
      <c r="L163" s="114" t="s">
        <v>5</v>
      </c>
      <c r="M163" s="29"/>
      <c r="N163" s="30"/>
      <c r="O163" s="62"/>
      <c r="P163" s="58">
        <f>K104*$I$8</f>
        <v>0</v>
      </c>
      <c r="Q163" s="30"/>
      <c r="R163" s="10"/>
      <c r="S163" s="119">
        <f>+P159+P160+P161+P162+P163</f>
        <v>112800</v>
      </c>
      <c r="T163" s="11"/>
      <c r="U163" s="7"/>
    </row>
    <row r="164" spans="1:21">
      <c r="A164" s="3"/>
      <c r="B164" s="8"/>
      <c r="C164" s="10"/>
      <c r="D164" s="30"/>
      <c r="E164" s="114" t="s">
        <v>3</v>
      </c>
      <c r="F164" s="29"/>
      <c r="G164" s="30"/>
      <c r="H164" s="58">
        <f t="shared" si="0"/>
        <v>0</v>
      </c>
      <c r="I164" s="30"/>
      <c r="J164" s="90"/>
      <c r="K164" s="30"/>
      <c r="L164" s="114" t="s">
        <v>3</v>
      </c>
      <c r="M164" s="29"/>
      <c r="N164" s="30"/>
      <c r="O164" s="62"/>
      <c r="P164" s="58">
        <f>K105*$I$8</f>
        <v>0</v>
      </c>
      <c r="Q164" s="30"/>
      <c r="R164" s="10"/>
      <c r="S164" s="11"/>
      <c r="T164" s="11"/>
      <c r="U164" s="7"/>
    </row>
    <row r="165" spans="1:21">
      <c r="A165" s="3"/>
      <c r="B165" s="8"/>
      <c r="C165" s="10"/>
      <c r="D165" s="30"/>
      <c r="E165" s="114" t="s">
        <v>129</v>
      </c>
      <c r="F165" s="29"/>
      <c r="G165" s="30"/>
      <c r="H165" s="69"/>
      <c r="I165" s="58">
        <f>+H82</f>
        <v>48000</v>
      </c>
      <c r="J165" s="90"/>
      <c r="K165" s="30"/>
      <c r="L165" s="114" t="s">
        <v>129</v>
      </c>
      <c r="M165" s="29"/>
      <c r="N165" s="30"/>
      <c r="O165" s="62"/>
      <c r="P165" s="69"/>
      <c r="Q165" s="30"/>
      <c r="R165" s="10"/>
      <c r="S165" s="248">
        <f>+H82</f>
        <v>48000</v>
      </c>
      <c r="T165" s="11"/>
      <c r="U165" s="7"/>
    </row>
    <row r="166" spans="1:21">
      <c r="A166" s="3"/>
      <c r="B166" s="8"/>
      <c r="C166" s="10"/>
      <c r="D166" s="30"/>
      <c r="E166" s="114" t="s">
        <v>4</v>
      </c>
      <c r="F166" s="29"/>
      <c r="G166" s="30"/>
      <c r="H166" s="58">
        <f>+M89</f>
        <v>19000</v>
      </c>
      <c r="I166" s="30"/>
      <c r="J166" s="90"/>
      <c r="K166" s="30"/>
      <c r="L166" s="114" t="s">
        <v>4</v>
      </c>
      <c r="M166" s="29"/>
      <c r="N166" s="30"/>
      <c r="O166" s="62"/>
      <c r="P166" s="58">
        <f>+H166</f>
        <v>19000</v>
      </c>
      <c r="Q166" s="30"/>
      <c r="R166" s="10"/>
      <c r="S166" s="11"/>
      <c r="T166" s="11"/>
      <c r="U166" s="7"/>
    </row>
    <row r="167" spans="1:21">
      <c r="A167" s="3"/>
      <c r="B167" s="8"/>
      <c r="C167" s="10"/>
      <c r="D167" s="30"/>
      <c r="E167" s="114" t="s">
        <v>2</v>
      </c>
      <c r="F167" s="29"/>
      <c r="G167" s="30"/>
      <c r="H167" s="58">
        <f>+M90</f>
        <v>4000</v>
      </c>
      <c r="I167" s="30"/>
      <c r="J167" s="90"/>
      <c r="K167" s="30"/>
      <c r="L167" s="114" t="s">
        <v>2</v>
      </c>
      <c r="M167" s="29"/>
      <c r="N167" s="30"/>
      <c r="O167" s="62"/>
      <c r="P167" s="58">
        <f>+H167</f>
        <v>4000</v>
      </c>
      <c r="Q167" s="30"/>
      <c r="R167" s="10"/>
      <c r="S167" s="11"/>
      <c r="T167" s="11"/>
      <c r="U167" s="7"/>
    </row>
    <row r="168" spans="1:21">
      <c r="A168" s="3"/>
      <c r="B168" s="8"/>
      <c r="C168" s="10"/>
      <c r="D168" s="30"/>
      <c r="E168" s="114" t="s">
        <v>7</v>
      </c>
      <c r="F168" s="29"/>
      <c r="G168" s="30"/>
      <c r="H168" s="58">
        <f>+M87</f>
        <v>12000</v>
      </c>
      <c r="I168" s="30"/>
      <c r="J168" s="90"/>
      <c r="K168" s="30"/>
      <c r="L168" s="114" t="s">
        <v>7</v>
      </c>
      <c r="M168" s="29"/>
      <c r="N168" s="30"/>
      <c r="O168" s="62"/>
      <c r="P168" s="58">
        <f>+H168</f>
        <v>12000</v>
      </c>
      <c r="Q168" s="30"/>
      <c r="R168" s="10"/>
      <c r="S168" s="11"/>
      <c r="T168" s="11"/>
      <c r="U168" s="7"/>
    </row>
    <row r="169" spans="1:21" ht="15" thickBot="1">
      <c r="A169" s="3"/>
      <c r="B169" s="8"/>
      <c r="C169" s="10"/>
      <c r="D169" s="30"/>
      <c r="E169" s="115" t="s">
        <v>1</v>
      </c>
      <c r="F169" s="29"/>
      <c r="G169" s="10"/>
      <c r="H169" s="59">
        <f>SUM(H159:H168)</f>
        <v>147835.25</v>
      </c>
      <c r="I169" s="10"/>
      <c r="J169" s="11"/>
      <c r="K169" s="10"/>
      <c r="L169" s="115" t="s">
        <v>1</v>
      </c>
      <c r="M169" s="29"/>
      <c r="N169" s="10"/>
      <c r="O169" s="62"/>
      <c r="P169" s="59">
        <f>SUM(P159:P168)</f>
        <v>147800</v>
      </c>
      <c r="Q169" s="10"/>
      <c r="R169" s="10"/>
      <c r="S169" s="11"/>
      <c r="T169" s="11"/>
      <c r="U169" s="7"/>
    </row>
    <row r="170" spans="1:21" ht="15" thickTop="1">
      <c r="A170" s="3"/>
      <c r="B170" s="8"/>
      <c r="C170" s="10"/>
      <c r="D170" s="30"/>
      <c r="E170" s="171"/>
      <c r="F170" s="16"/>
      <c r="G170" s="50"/>
      <c r="H170" s="172"/>
      <c r="I170" s="50"/>
      <c r="J170" s="51"/>
      <c r="K170" s="10"/>
      <c r="L170" s="171"/>
      <c r="M170" s="16"/>
      <c r="N170" s="50"/>
      <c r="O170" s="68"/>
      <c r="P170" s="172"/>
      <c r="Q170" s="50"/>
      <c r="R170" s="50"/>
      <c r="S170" s="51"/>
      <c r="T170" s="11"/>
      <c r="U170" s="7"/>
    </row>
    <row r="171" spans="1:21">
      <c r="A171" s="3"/>
      <c r="B171" s="8"/>
      <c r="C171" s="30"/>
      <c r="D171" s="62"/>
      <c r="E171" s="62"/>
      <c r="F171" s="30"/>
      <c r="G171" s="30"/>
      <c r="H171" s="30"/>
      <c r="I171" s="30"/>
      <c r="J171" s="30"/>
      <c r="K171" s="30"/>
      <c r="L171" s="30"/>
      <c r="M171" s="24"/>
      <c r="N171" s="24"/>
      <c r="O171" s="62"/>
      <c r="P171" s="162"/>
      <c r="Q171" s="62"/>
      <c r="R171" s="69"/>
      <c r="S171" s="227"/>
      <c r="T171" s="11"/>
      <c r="U171" s="7"/>
    </row>
    <row r="172" spans="1:21">
      <c r="A172" s="3"/>
      <c r="B172" s="8"/>
      <c r="C172" s="9" t="s">
        <v>142</v>
      </c>
      <c r="D172" s="9" t="s">
        <v>138</v>
      </c>
      <c r="E172" s="62"/>
      <c r="F172" s="30"/>
      <c r="G172" s="30"/>
      <c r="H172" s="30"/>
      <c r="I172" s="30"/>
      <c r="J172" s="30"/>
      <c r="K172" s="30"/>
      <c r="L172" s="30"/>
      <c r="M172" s="24"/>
      <c r="N172" s="24"/>
      <c r="O172" s="62"/>
      <c r="P172" s="162"/>
      <c r="Q172" s="62"/>
      <c r="R172" s="227"/>
      <c r="S172" s="228"/>
      <c r="T172" s="11"/>
      <c r="U172" s="7"/>
    </row>
    <row r="173" spans="1:21">
      <c r="A173" s="3"/>
      <c r="B173" s="8"/>
      <c r="C173" s="9"/>
      <c r="D173" s="191" t="s">
        <v>197</v>
      </c>
      <c r="E173" s="62"/>
      <c r="F173" s="30"/>
      <c r="G173" s="30"/>
      <c r="H173" s="30"/>
      <c r="I173" s="30"/>
      <c r="J173" s="30"/>
      <c r="K173" s="30"/>
      <c r="L173" s="30"/>
      <c r="M173" s="24"/>
      <c r="N173" s="24"/>
      <c r="O173" s="62"/>
      <c r="P173" s="162"/>
      <c r="Q173" s="62"/>
      <c r="R173" s="227"/>
      <c r="S173" s="228"/>
      <c r="T173" s="11"/>
      <c r="U173" s="7"/>
    </row>
    <row r="174" spans="1:21">
      <c r="A174" s="3"/>
      <c r="B174" s="8"/>
      <c r="C174" s="9"/>
      <c r="D174" s="221"/>
      <c r="E174" s="62"/>
      <c r="F174" s="30"/>
      <c r="G174" s="30"/>
      <c r="H174" s="30"/>
      <c r="I174" s="30"/>
      <c r="J174" s="30"/>
      <c r="K174" s="30"/>
      <c r="L174" s="30"/>
      <c r="M174" s="24"/>
      <c r="N174" s="24"/>
      <c r="O174" s="62"/>
      <c r="P174" s="162"/>
      <c r="Q174" s="62"/>
      <c r="R174" s="227"/>
      <c r="S174" s="228"/>
      <c r="T174" s="11"/>
      <c r="U174" s="7"/>
    </row>
    <row r="175" spans="1:21">
      <c r="A175" s="3"/>
      <c r="B175" s="8"/>
      <c r="C175" s="10"/>
      <c r="D175" s="30"/>
      <c r="E175" s="62" t="s">
        <v>216</v>
      </c>
      <c r="F175" s="30"/>
      <c r="G175" s="30"/>
      <c r="H175" s="30"/>
      <c r="I175" s="30"/>
      <c r="J175" s="50"/>
      <c r="K175" s="10"/>
      <c r="L175" s="62" t="s">
        <v>217</v>
      </c>
      <c r="M175" s="16"/>
      <c r="N175" s="50"/>
      <c r="O175" s="68"/>
      <c r="P175" s="172"/>
      <c r="Q175" s="50"/>
      <c r="R175" s="50"/>
      <c r="S175" s="50"/>
      <c r="T175" s="11"/>
      <c r="U175" s="7"/>
    </row>
    <row r="176" spans="1:21">
      <c r="A176" s="3"/>
      <c r="B176" s="8"/>
      <c r="C176" s="214"/>
      <c r="D176" s="39" t="s">
        <v>214</v>
      </c>
      <c r="E176" s="39"/>
      <c r="F176" s="39"/>
      <c r="G176" s="40"/>
      <c r="H176" s="40"/>
      <c r="I176" s="40"/>
      <c r="J176" s="113"/>
      <c r="K176" s="30"/>
      <c r="L176" s="214"/>
      <c r="M176" s="39" t="s">
        <v>212</v>
      </c>
      <c r="N176" s="39"/>
      <c r="O176" s="39"/>
      <c r="P176" s="40"/>
      <c r="Q176" s="40"/>
      <c r="R176" s="40"/>
      <c r="S176" s="113"/>
      <c r="T176" s="11"/>
      <c r="U176" s="7"/>
    </row>
    <row r="177" spans="1:21">
      <c r="A177" s="3"/>
      <c r="B177" s="8"/>
      <c r="C177" s="12"/>
      <c r="D177" s="29" t="s">
        <v>215</v>
      </c>
      <c r="E177" s="29"/>
      <c r="F177" s="29"/>
      <c r="G177" s="30"/>
      <c r="H177" s="30"/>
      <c r="I177" s="30"/>
      <c r="J177" s="90"/>
      <c r="K177" s="30"/>
      <c r="L177" s="12"/>
      <c r="M177" s="29" t="s">
        <v>213</v>
      </c>
      <c r="N177" s="29"/>
      <c r="O177" s="29"/>
      <c r="P177" s="30"/>
      <c r="Q177" s="30"/>
      <c r="R177" s="30"/>
      <c r="S177" s="90"/>
      <c r="T177" s="11"/>
      <c r="U177" s="7"/>
    </row>
    <row r="178" spans="1:21">
      <c r="A178" s="3"/>
      <c r="B178" s="8"/>
      <c r="C178" s="114"/>
      <c r="D178" s="62"/>
      <c r="E178" s="62"/>
      <c r="F178" s="62"/>
      <c r="G178" s="139"/>
      <c r="H178" s="230" t="s">
        <v>128</v>
      </c>
      <c r="I178" s="230" t="s">
        <v>137</v>
      </c>
      <c r="J178" s="63"/>
      <c r="K178" s="30"/>
      <c r="L178" s="114"/>
      <c r="M178" s="62"/>
      <c r="N178" s="62"/>
      <c r="O178" s="139"/>
      <c r="P178" s="230" t="s">
        <v>128</v>
      </c>
      <c r="Q178" s="62"/>
      <c r="R178" s="62"/>
      <c r="S178" s="242" t="s">
        <v>137</v>
      </c>
      <c r="T178" s="11"/>
      <c r="U178" s="7"/>
    </row>
    <row r="179" spans="1:21">
      <c r="A179" s="3"/>
      <c r="B179" s="8"/>
      <c r="C179" s="114"/>
      <c r="D179" s="62"/>
      <c r="E179" s="62"/>
      <c r="F179" s="62"/>
      <c r="G179" s="225" t="s">
        <v>140</v>
      </c>
      <c r="H179" s="231">
        <f>+S119</f>
        <v>4801500</v>
      </c>
      <c r="I179" s="232">
        <f>+H179/$H$179</f>
        <v>1</v>
      </c>
      <c r="J179" s="63"/>
      <c r="K179" s="30"/>
      <c r="L179" s="114"/>
      <c r="M179" s="62"/>
      <c r="N179" s="62"/>
      <c r="O179" s="225" t="str">
        <f>+G179</f>
        <v>Principal amount of the mortgage</v>
      </c>
      <c r="P179" s="231">
        <f>+I8</f>
        <v>4800000</v>
      </c>
      <c r="Q179" s="62"/>
      <c r="R179" s="62"/>
      <c r="S179" s="243">
        <f>+P179/$P$179</f>
        <v>1</v>
      </c>
      <c r="T179" s="11"/>
      <c r="U179" s="7"/>
    </row>
    <row r="180" spans="1:21">
      <c r="A180" s="3"/>
      <c r="B180" s="8"/>
      <c r="C180" s="114"/>
      <c r="D180" s="62"/>
      <c r="E180" s="62"/>
      <c r="F180" s="62"/>
      <c r="G180" s="225" t="str">
        <f>+E80</f>
        <v>Prepmt pd via trade profit</v>
      </c>
      <c r="H180" s="231">
        <f>+H80</f>
        <v>48000</v>
      </c>
      <c r="I180" s="232">
        <f>+H180/$H$179</f>
        <v>9.9968759762574192E-3</v>
      </c>
      <c r="J180" s="63"/>
      <c r="K180" s="30"/>
      <c r="L180" s="114"/>
      <c r="M180" s="62"/>
      <c r="N180" s="62"/>
      <c r="O180" s="225" t="str">
        <f>+G180</f>
        <v>Prepmt pd via trade profit</v>
      </c>
      <c r="P180" s="233">
        <f>+H80</f>
        <v>48000</v>
      </c>
      <c r="Q180" s="62"/>
      <c r="R180" s="62"/>
      <c r="S180" s="243">
        <f>+P180/$P$179</f>
        <v>0.01</v>
      </c>
      <c r="T180" s="11"/>
      <c r="U180" s="7"/>
    </row>
    <row r="181" spans="1:21">
      <c r="A181" s="3"/>
      <c r="B181" s="8"/>
      <c r="C181" s="114"/>
      <c r="D181" s="62"/>
      <c r="E181" s="62"/>
      <c r="F181" s="62"/>
      <c r="G181" s="225" t="str">
        <f>+E81</f>
        <v>R4R pd via trade profit</v>
      </c>
      <c r="H181" s="238">
        <f>+H81</f>
        <v>0</v>
      </c>
      <c r="I181" s="239">
        <f>+H181/$H$179</f>
        <v>0</v>
      </c>
      <c r="J181" s="63"/>
      <c r="K181" s="30"/>
      <c r="L181" s="114"/>
      <c r="M181" s="62"/>
      <c r="N181" s="62"/>
      <c r="O181" s="225" t="str">
        <f>+G181</f>
        <v>R4R pd via trade profit</v>
      </c>
      <c r="P181" s="238">
        <f>+H81</f>
        <v>0</v>
      </c>
      <c r="Q181" s="239"/>
      <c r="R181" s="62"/>
      <c r="S181" s="243">
        <f>+P181/$P$179</f>
        <v>0</v>
      </c>
      <c r="T181" s="11"/>
      <c r="U181" s="7"/>
    </row>
    <row r="182" spans="1:21">
      <c r="A182" s="3"/>
      <c r="B182" s="8"/>
      <c r="C182" s="114"/>
      <c r="D182" s="62"/>
      <c r="E182" s="62"/>
      <c r="F182" s="62"/>
      <c r="G182" s="225" t="s">
        <v>204</v>
      </c>
      <c r="H182" s="231"/>
      <c r="I182" s="139"/>
      <c r="J182" s="63"/>
      <c r="K182" s="30"/>
      <c r="L182" s="114"/>
      <c r="M182" s="62"/>
      <c r="N182" s="62"/>
      <c r="O182" s="225" t="str">
        <f>+G182</f>
        <v>Tot prcds for borrower costs (excludes</v>
      </c>
      <c r="P182" s="231"/>
      <c r="Q182" s="139"/>
      <c r="R182" s="62"/>
      <c r="S182" s="244"/>
      <c r="T182" s="11"/>
      <c r="U182" s="7"/>
    </row>
    <row r="183" spans="1:21" ht="12.75" customHeight="1">
      <c r="A183" s="3"/>
      <c r="B183" s="8"/>
      <c r="C183" s="234"/>
      <c r="D183" s="68"/>
      <c r="E183" s="68"/>
      <c r="F183" s="159"/>
      <c r="G183" s="235" t="s">
        <v>141</v>
      </c>
      <c r="H183" s="240">
        <f>+H179+H180+H181</f>
        <v>4849500</v>
      </c>
      <c r="I183" s="241">
        <f>+H183/$H$179</f>
        <v>1.0099968759762574</v>
      </c>
      <c r="J183" s="76"/>
      <c r="K183" s="30"/>
      <c r="L183" s="234"/>
      <c r="M183" s="68"/>
      <c r="N183" s="68"/>
      <c r="O183" s="235" t="str">
        <f>+G183</f>
        <v>Escrow for Completion Assurance)</v>
      </c>
      <c r="P183" s="236">
        <f>+P179+P180+P181</f>
        <v>4848000</v>
      </c>
      <c r="Q183" s="68"/>
      <c r="R183" s="68"/>
      <c r="S183" s="245">
        <f>+P183/$P$179</f>
        <v>1.01</v>
      </c>
      <c r="T183" s="11"/>
      <c r="U183" s="7"/>
    </row>
    <row r="184" spans="1:21" ht="15" customHeight="1">
      <c r="A184" s="3"/>
      <c r="B184" s="8"/>
      <c r="C184" s="30"/>
      <c r="D184" s="62"/>
      <c r="E184" s="62"/>
      <c r="F184" s="30"/>
      <c r="G184" s="30"/>
      <c r="H184" s="30"/>
      <c r="I184" s="30"/>
      <c r="J184" s="30"/>
      <c r="K184" s="30"/>
      <c r="L184" s="30"/>
      <c r="M184" s="24"/>
      <c r="N184" s="24"/>
      <c r="O184" s="24"/>
      <c r="P184" s="62"/>
      <c r="Q184" s="62"/>
      <c r="R184" s="62"/>
      <c r="S184" s="62"/>
      <c r="T184" s="11"/>
      <c r="U184" s="7"/>
    </row>
    <row r="185" spans="1:21" ht="14.25" customHeight="1">
      <c r="A185" s="3"/>
      <c r="B185" s="8"/>
      <c r="C185" s="10"/>
      <c r="D185" s="30"/>
      <c r="E185" s="29"/>
      <c r="F185" s="29"/>
      <c r="G185" s="10"/>
      <c r="H185" s="58"/>
      <c r="I185" s="10"/>
      <c r="J185" s="10"/>
      <c r="K185" s="10"/>
      <c r="L185" s="29"/>
      <c r="M185" s="29"/>
      <c r="N185" s="10"/>
      <c r="O185" s="62"/>
      <c r="P185" s="58"/>
      <c r="Q185" s="10"/>
      <c r="R185" s="10"/>
      <c r="S185" s="10"/>
      <c r="T185" s="11"/>
      <c r="U185" s="7"/>
    </row>
    <row r="186" spans="1:21">
      <c r="A186" s="3"/>
      <c r="B186" s="214" t="s">
        <v>143</v>
      </c>
      <c r="C186" s="215" t="s">
        <v>123</v>
      </c>
      <c r="D186" s="40"/>
      <c r="E186" s="39"/>
      <c r="F186" s="39"/>
      <c r="G186" s="5"/>
      <c r="H186" s="212"/>
      <c r="I186" s="5"/>
      <c r="J186" s="5"/>
      <c r="K186" s="216" t="s">
        <v>128</v>
      </c>
      <c r="L186" s="39"/>
      <c r="M186" s="216" t="s">
        <v>147</v>
      </c>
      <c r="N186" s="217"/>
      <c r="O186" s="29"/>
      <c r="P186" s="58"/>
      <c r="Q186" s="10"/>
      <c r="R186" s="10"/>
      <c r="S186" s="10"/>
      <c r="T186" s="11"/>
      <c r="U186" s="7"/>
    </row>
    <row r="187" spans="1:21">
      <c r="A187" s="3"/>
      <c r="B187" s="8"/>
      <c r="C187" s="191"/>
      <c r="D187" s="30"/>
      <c r="E187" s="10" t="s">
        <v>70</v>
      </c>
      <c r="F187" s="72"/>
      <c r="G187" s="72"/>
      <c r="H187" s="72"/>
      <c r="I187" s="72"/>
      <c r="J187" s="10"/>
      <c r="K187" s="170">
        <f>++IF(K79&gt;=0,K79,"None")</f>
        <v>137119.12944552006</v>
      </c>
      <c r="L187" s="62"/>
      <c r="M187" s="253">
        <f>+K187/$I$8</f>
        <v>2.856648530115001E-2</v>
      </c>
      <c r="N187" s="63"/>
      <c r="O187" s="213" t="s">
        <v>100</v>
      </c>
      <c r="P187" s="212"/>
      <c r="Q187" s="5"/>
      <c r="R187" s="5"/>
      <c r="S187" s="5"/>
      <c r="T187" s="6"/>
      <c r="U187" s="7"/>
    </row>
    <row r="188" spans="1:21">
      <c r="A188" s="3"/>
      <c r="B188" s="8"/>
      <c r="C188" s="10"/>
      <c r="D188" s="30"/>
      <c r="E188" s="10" t="s">
        <v>124</v>
      </c>
      <c r="F188" s="62"/>
      <c r="G188" s="62"/>
      <c r="H188" s="62"/>
      <c r="I188" s="62"/>
      <c r="J188" s="62"/>
      <c r="K188" s="170">
        <f>++IF(M80&gt;=0,M80,"None")</f>
        <v>89119.129445520055</v>
      </c>
      <c r="L188" s="62"/>
      <c r="M188" s="253">
        <f>+IF(K188="N.A.","N.A.",+K188/$I$8)</f>
        <v>1.8566485301150012E-2</v>
      </c>
      <c r="N188" s="218"/>
      <c r="O188" s="29"/>
      <c r="P188" s="261" t="s">
        <v>82</v>
      </c>
      <c r="Q188" s="62"/>
      <c r="R188" s="62"/>
      <c r="S188" s="211" t="s">
        <v>95</v>
      </c>
      <c r="T188" s="11"/>
      <c r="U188" s="7"/>
    </row>
    <row r="189" spans="1:21">
      <c r="A189" s="3"/>
      <c r="B189" s="8"/>
      <c r="C189" s="10"/>
      <c r="D189" s="30"/>
      <c r="E189" s="10" t="s">
        <v>125</v>
      </c>
      <c r="F189" s="72"/>
      <c r="G189" s="72"/>
      <c r="H189" s="72"/>
      <c r="I189" s="72"/>
      <c r="J189" s="10"/>
      <c r="K189" s="275">
        <f>++IF(H80&gt;=0,H80,"None")</f>
        <v>48000</v>
      </c>
      <c r="L189" s="62"/>
      <c r="M189" s="271">
        <f>+IF(K189="None","N.A.",+K189/$I$8)</f>
        <v>0.01</v>
      </c>
      <c r="N189" s="218"/>
      <c r="O189" s="29"/>
      <c r="P189" s="165"/>
      <c r="Q189" s="62"/>
      <c r="R189" s="62"/>
      <c r="S189" s="167"/>
      <c r="T189" s="11"/>
      <c r="U189" s="7"/>
    </row>
    <row r="190" spans="1:21">
      <c r="A190" s="3"/>
      <c r="B190" s="8"/>
      <c r="C190" s="10"/>
      <c r="D190" s="30"/>
      <c r="E190" s="10" t="s">
        <v>71</v>
      </c>
      <c r="F190" s="62"/>
      <c r="G190" s="62"/>
      <c r="H190" s="62"/>
      <c r="I190" s="62"/>
      <c r="J190" s="62"/>
      <c r="K190" s="275">
        <f>++IF(H81&gt;=0,H81,"None")</f>
        <v>0</v>
      </c>
      <c r="L190" s="62"/>
      <c r="M190" s="271">
        <f>+IF(K190="N.A.","N.A.",+K190/$I$8)</f>
        <v>0</v>
      </c>
      <c r="N190" s="218"/>
      <c r="O190" s="29"/>
      <c r="P190" s="261" t="s">
        <v>76</v>
      </c>
      <c r="Q190" s="321" t="s">
        <v>0</v>
      </c>
      <c r="R190" s="321"/>
      <c r="S190" s="261" t="s">
        <v>83</v>
      </c>
      <c r="T190" s="11"/>
      <c r="U190" s="7"/>
    </row>
    <row r="191" spans="1:21">
      <c r="A191" s="3"/>
      <c r="B191" s="8"/>
      <c r="C191" s="29"/>
      <c r="D191" s="10"/>
      <c r="E191" s="10" t="s">
        <v>126</v>
      </c>
      <c r="F191" s="62"/>
      <c r="G191" s="62"/>
      <c r="H191" s="62"/>
      <c r="I191" s="62"/>
      <c r="J191" s="62"/>
      <c r="K191" s="272"/>
      <c r="L191" s="62"/>
      <c r="M191" s="272"/>
      <c r="N191" s="218"/>
      <c r="O191" s="29"/>
      <c r="P191" s="166"/>
      <c r="Q191" s="338">
        <f>+DAYS360(S191,P191)/30</f>
        <v>0</v>
      </c>
      <c r="R191" s="339"/>
      <c r="S191" s="165"/>
      <c r="T191" s="11"/>
      <c r="U191" s="7"/>
    </row>
    <row r="192" spans="1:21">
      <c r="A192" s="3"/>
      <c r="B192" s="8"/>
      <c r="C192" s="29"/>
      <c r="D192" s="10"/>
      <c r="F192" s="229" t="s">
        <v>149</v>
      </c>
      <c r="G192" s="260">
        <v>0</v>
      </c>
      <c r="H192" s="229" t="s">
        <v>150</v>
      </c>
      <c r="I192" s="219">
        <v>0</v>
      </c>
      <c r="J192" s="62"/>
      <c r="K192" s="276">
        <f>IF(G192&gt;0,G192*P179,+IF(I192&gt;0,I192,0))</f>
        <v>0</v>
      </c>
      <c r="L192" s="62"/>
      <c r="M192" s="273">
        <f>+K192/$I$8</f>
        <v>0</v>
      </c>
      <c r="N192" s="218"/>
      <c r="O192" s="29"/>
      <c r="P192" s="62"/>
      <c r="Q192" s="334" t="s">
        <v>77</v>
      </c>
      <c r="R192" s="335"/>
      <c r="S192" s="165"/>
      <c r="T192" s="11"/>
      <c r="U192" s="7"/>
    </row>
    <row r="193" spans="1:21">
      <c r="A193" s="3"/>
      <c r="B193" s="49"/>
      <c r="C193" s="16"/>
      <c r="D193" s="50"/>
      <c r="E193" s="50" t="s">
        <v>127</v>
      </c>
      <c r="F193" s="68"/>
      <c r="G193" s="68"/>
      <c r="H193" s="68"/>
      <c r="I193" s="68"/>
      <c r="J193" s="68"/>
      <c r="K193" s="277">
        <f>SUM(K189:K192)</f>
        <v>48000</v>
      </c>
      <c r="L193" s="68"/>
      <c r="M193" s="274">
        <f>SUM(M189:M192)</f>
        <v>0.01</v>
      </c>
      <c r="N193" s="51"/>
      <c r="O193" s="92"/>
      <c r="P193" s="92"/>
      <c r="Q193" s="92"/>
      <c r="R193" s="92"/>
      <c r="S193" s="92"/>
      <c r="T193" s="51"/>
      <c r="U193" s="7"/>
    </row>
    <row r="194" spans="1:21">
      <c r="A194" s="52"/>
      <c r="B194" s="53"/>
      <c r="C194" s="53"/>
      <c r="D194" s="54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180" t="str">
        <f ca="1">MID(CELL("filename"),SEARCH("[",CELL("filename"))+1, SEARCH("]",CELL("filename"))-SEARCH("[",CELL("filename"))-1)</f>
        <v>huddoc</v>
      </c>
      <c r="T194" s="53"/>
      <c r="U194" s="55"/>
    </row>
  </sheetData>
  <customSheetViews>
    <customSheetView guid="{CE330743-A161-43A1-BC0F-3D7991F3DC32}" scale="80" showPageBreaks="1" printArea="1" topLeftCell="A28">
      <pane ySplit="5" topLeftCell="A137" activePane="bottomLeft"/>
      <selection pane="bottomLeft" activeCell="A143" sqref="A143:XFD172"/>
      <rowBreaks count="2" manualBreakCount="2">
        <brk id="54" max="20" man="1"/>
        <brk id="121" max="20" man="1"/>
      </rowBreaks>
      <pageMargins left="0.32" right="0.25" top="0.59" bottom="0.56000000000000005" header="0.25" footer="0.25"/>
      <printOptions horizontalCentered="1"/>
      <pageSetup scale="71" fitToHeight="2" orientation="portrait" r:id="rId1"/>
      <headerFooter>
        <oddHeader xml:space="preserve">&amp;CSection 223(a)(7) 
Mortgage sizing and Sources and Uses Worksheet&amp;R&amp;D
</oddHeader>
        <oddFooter>&amp;LCreated by Office of Housing&amp;R&amp;F
 Printed Page &amp;P of  &amp;N printed pages</oddFooter>
      </headerFooter>
    </customSheetView>
  </customSheetViews>
  <mergeCells count="40">
    <mergeCell ref="I163:J163"/>
    <mergeCell ref="I161:J161"/>
    <mergeCell ref="I162:J162"/>
    <mergeCell ref="Q192:R192"/>
    <mergeCell ref="N76:O76"/>
    <mergeCell ref="Q191:R191"/>
    <mergeCell ref="Q190:R190"/>
    <mergeCell ref="G126:I126"/>
    <mergeCell ref="G147:I147"/>
    <mergeCell ref="N147:R147"/>
    <mergeCell ref="G148:I148"/>
    <mergeCell ref="N148:R148"/>
    <mergeCell ref="G149:I149"/>
    <mergeCell ref="G58:I58"/>
    <mergeCell ref="N58:R58"/>
    <mergeCell ref="G59:I59"/>
    <mergeCell ref="G124:I124"/>
    <mergeCell ref="G125:I125"/>
    <mergeCell ref="N75:O75"/>
    <mergeCell ref="Q74:R74"/>
    <mergeCell ref="N124:R124"/>
    <mergeCell ref="N125:R125"/>
    <mergeCell ref="N78:O78"/>
    <mergeCell ref="N77:O77"/>
    <mergeCell ref="Q79:R79"/>
    <mergeCell ref="Q80:R80"/>
    <mergeCell ref="N74:O74"/>
    <mergeCell ref="G4:I4"/>
    <mergeCell ref="G5:I5"/>
    <mergeCell ref="N5:R5"/>
    <mergeCell ref="N4:R4"/>
    <mergeCell ref="B1:T1"/>
    <mergeCell ref="G6:I6"/>
    <mergeCell ref="G57:I57"/>
    <mergeCell ref="N57:R57"/>
    <mergeCell ref="H47:I47"/>
    <mergeCell ref="H48:I48"/>
    <mergeCell ref="H49:I49"/>
    <mergeCell ref="H50:I50"/>
    <mergeCell ref="H52:I52"/>
  </mergeCells>
  <conditionalFormatting sqref="S10">
    <cfRule type="expression" dxfId="0" priority="1">
      <formula>$S$10&lt;&gt;MIN($S$12,$S$14,$S$16)</formula>
    </cfRule>
  </conditionalFormatting>
  <printOptions horizontalCentered="1"/>
  <pageMargins left="0.32" right="0.25" top="0.59" bottom="0.56000000000000005" header="0.25" footer="0.25"/>
  <pageSetup scale="71" fitToHeight="2" orientation="portrait" r:id="rId2"/>
  <headerFooter>
    <oddHeader xml:space="preserve">&amp;CSection 223(a)(7) 
Mortgage sizing and Sources and Uses Worksheet&amp;R&amp;D
</oddHeader>
    <oddFooter>&amp;LCreated by Office of Housing&amp;R&amp;F
 Printed Page &amp;P of  &amp;N printed pages</oddFooter>
  </headerFooter>
  <rowBreaks count="3" manualBreakCount="3">
    <brk id="55" max="20" man="1"/>
    <brk id="122" max="20" man="1"/>
    <brk id="145" max="20" man="1"/>
  </row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223(a)(7) Project Analysis</vt:lpstr>
      <vt:lpstr>'223(a)(7) Project Analysis'!Print_Area</vt:lpstr>
    </vt:vector>
  </TitlesOfParts>
  <Company>Housing and Urban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June E</dc:creator>
  <cp:lastModifiedBy>H04492</cp:lastModifiedBy>
  <cp:lastPrinted>2016-02-24T14:02:09Z</cp:lastPrinted>
  <dcterms:created xsi:type="dcterms:W3CDTF">2012-05-14T17:46:56Z</dcterms:created>
  <dcterms:modified xsi:type="dcterms:W3CDTF">2017-02-13T18:41:40Z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