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OHP\232\OHP Operations\Reports\Statistical Report\"/>
    </mc:Choice>
  </mc:AlternateContent>
  <xr:revisionPtr revIDLastSave="0" documentId="8_{DD572F2C-CFC7-4D1E-8245-4C5FB36AB53A}" xr6:coauthVersionLast="32" xr6:coauthVersionMax="32" xr10:uidLastSave="{00000000-0000-0000-0000-000000000000}"/>
  <bookViews>
    <workbookView xWindow="0" yWindow="0" windowWidth="19200" windowHeight="6960" xr2:uid="{283D01E0-D6B5-47D0-9601-A8367403A9C3}"/>
  </bookViews>
  <sheets>
    <sheet name="Summary Report" sheetId="1" r:id="rId1"/>
  </sheets>
  <externalReferences>
    <externalReference r:id="rId2"/>
  </externalReferences>
  <definedNames>
    <definedName name="_xlnm.Print_Area" localSheetId="0">'Summary Report'!$A$1:$O$62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45" i="1" s="1"/>
  <c r="L41" i="1"/>
  <c r="L33" i="1"/>
  <c r="L27" i="1"/>
  <c r="L34" i="1" s="1"/>
  <c r="F24" i="1"/>
  <c r="F22" i="1"/>
  <c r="L14" i="1"/>
  <c r="F10" i="1"/>
  <c r="F9" i="1"/>
  <c r="F7" i="1"/>
  <c r="F54" i="1"/>
  <c r="F47" i="1"/>
  <c r="F37" i="1"/>
  <c r="F31" i="1"/>
  <c r="F25" i="1"/>
  <c r="F48" i="1"/>
  <c r="F23" i="1"/>
  <c r="F50" i="1"/>
  <c r="F39" i="1"/>
  <c r="F30" i="1"/>
  <c r="F38" i="1"/>
  <c r="F11" i="1"/>
  <c r="F33" i="1" l="1"/>
  <c r="F41" i="1"/>
  <c r="F53" i="1"/>
  <c r="F27" i="1"/>
  <c r="F34" i="1" s="1"/>
  <c r="Q40" i="1" s="1"/>
  <c r="F14" i="1"/>
</calcChain>
</file>

<file path=xl/sharedStrings.xml><?xml version="1.0" encoding="utf-8"?>
<sst xmlns="http://schemas.openxmlformats.org/spreadsheetml/2006/main" count="92" uniqueCount="52">
  <si>
    <t>Office of Healthcare Programs</t>
  </si>
  <si>
    <t>Section 232 - Residential Care Facilities</t>
  </si>
  <si>
    <t xml:space="preserve">Weekly Statistical Report as of </t>
  </si>
  <si>
    <t>SUMMARY OF SECTION 232 ACTIVITY</t>
  </si>
  <si>
    <t>FY 2018 YTD</t>
  </si>
  <si>
    <t>FY 2017 Total</t>
  </si>
  <si>
    <t>FY 2016 Total</t>
  </si>
  <si>
    <t>FY 2015 Total</t>
  </si>
  <si>
    <t>FY 2014 Total</t>
  </si>
  <si>
    <t>FY 2013 Total</t>
  </si>
  <si>
    <t>FY 2012 Total</t>
  </si>
  <si>
    <t>FY 2011 Total</t>
  </si>
  <si>
    <t>FY 2010 Total</t>
  </si>
  <si>
    <t>FY 2009 Total</t>
  </si>
  <si>
    <t>Applications Received</t>
  </si>
  <si>
    <r>
      <t>New Constr/Market Acceptance/Pre-App</t>
    </r>
    <r>
      <rPr>
        <vertAlign val="superscript"/>
        <sz val="11"/>
        <color theme="1"/>
        <rFont val="Calibri"/>
        <family val="2"/>
        <scheme val="minor"/>
      </rPr>
      <t>1</t>
    </r>
  </si>
  <si>
    <t>n/a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</si>
  <si>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Rate/241a</t>
    </r>
  </si>
  <si>
    <r>
      <rPr>
        <b/>
        <sz val="11"/>
        <color theme="1"/>
        <rFont val="Calibri"/>
        <family val="2"/>
        <scheme val="minor"/>
      </rPr>
      <t xml:space="preserve">223f </t>
    </r>
    <r>
      <rPr>
        <sz val="11"/>
        <color theme="1"/>
        <rFont val="Calibri"/>
        <family val="2"/>
        <scheme val="minor"/>
      </rPr>
      <t>Refinance/Purchase New FHA Loan</t>
    </r>
  </si>
  <si>
    <r>
      <rPr>
        <b/>
        <sz val="11"/>
        <color theme="1"/>
        <rFont val="Calibri"/>
        <family val="2"/>
        <scheme val="minor"/>
      </rPr>
      <t>223a7</t>
    </r>
    <r>
      <rPr>
        <sz val="11"/>
        <color theme="1"/>
        <rFont val="Calibri"/>
        <family val="2"/>
        <scheme val="minor"/>
      </rPr>
      <t xml:space="preserve"> Refinance Existing FHA Loan</t>
    </r>
  </si>
  <si>
    <r>
      <rPr>
        <b/>
        <sz val="11"/>
        <color theme="1"/>
        <rFont val="Calibri"/>
        <family val="2"/>
        <scheme val="minor"/>
      </rPr>
      <t>223d</t>
    </r>
    <r>
      <rPr>
        <sz val="11"/>
        <color theme="1"/>
        <rFont val="Calibri"/>
        <family val="2"/>
        <scheme val="minor"/>
      </rPr>
      <t xml:space="preserve"> Operating Loss Loan</t>
    </r>
  </si>
  <si>
    <r>
      <rPr>
        <b/>
        <sz val="11"/>
        <color theme="1"/>
        <rFont val="Calibri"/>
        <family val="2"/>
        <scheme val="minor"/>
      </rPr>
      <t>232i</t>
    </r>
    <r>
      <rPr>
        <sz val="11"/>
        <color theme="1"/>
        <rFont val="Calibri"/>
        <family val="2"/>
        <scheme val="minor"/>
      </rPr>
      <t xml:space="preserve"> Fire Safety Loan</t>
    </r>
  </si>
  <si>
    <t>TOTAL</t>
  </si>
  <si>
    <t>Market Acceptance Letter Issued</t>
  </si>
  <si>
    <t>Market Rejection Letter Issued</t>
  </si>
  <si>
    <t>Commitments Issued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</si>
  <si>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Rate/232i</t>
    </r>
  </si>
  <si>
    <t>GETPIVOTDATA("action_name",'Pivot Tables'!$I$3,"action_name","Firm Issued","soa_subcatgy","ALF NC/SR")+GETPIVOTDATA("action_name",'Pivot Tables'!$I$3,"action_name","Firm Issued","soa_subcatgy","Nursing/ ICF NC/SR")+GETPIVOTDATA("Count of action_name",'Pivot Tables'!$I$3,"action_name","Firm Issued","soa_subcatgy","Nursing/ ICF 241a")+GETPIVOTDATA("Count of action_name",'Pivot Tables'!$I$3,"action_name","Firm Issued","soa_subcatgy","ALF 241a")</t>
  </si>
  <si>
    <t>GETPIVOTDATA("action_name",'Pivot Tables'!$I$3,"action_name","Firm Issued","soa_subcatgy","ALF a7 of 223f")+GETPIVOTDATA("action_name",'Pivot Tables'!$I$3,"action_name","Firm Issued","soa_subcatgy","ALF a7 of NC/SR")+GETPIVOTDATA("action_name",'Pivot Tables'!$I$3,"action_name","Firm Issued","soa_subcatgy","Nursing/ICF a7 of 223f")+GETPIVOTDATA("action_name",'Pivot Tables'!$I$3,"action_name","Firm Issued","soa_subcatgy","Nursing/ICF a7 of NC/SR")+GETPIVOTDATA("action_name",'Pivot Tables'!$I$3,"action_name","Firm Issued","soa_subcatgy","a7/241a on any 232 Health Care")+GETPIVOTDATA("Count of action_name",'Pivot Tables'!$I$3,"action_name","Firm Issued","soa_subcatgy","B&amp;C a7 of 223f")+GETPIVOTDATA("Count of action_name",'Pivot Tables'!$I$3,"action_name","Firm Issued","soa_subcatgy","B&amp;C a7 of NC/SR")</t>
  </si>
  <si>
    <r>
      <rPr>
        <b/>
        <sz val="11"/>
        <color theme="1"/>
        <rFont val="Calibri"/>
        <family val="2"/>
        <scheme val="minor"/>
      </rPr>
      <t>241a</t>
    </r>
    <r>
      <rPr>
        <sz val="11"/>
        <color theme="1"/>
        <rFont val="Calibri"/>
        <family val="2"/>
        <scheme val="minor"/>
      </rPr>
      <t xml:space="preserve"> Supplemental Loan</t>
    </r>
  </si>
  <si>
    <t>GETPIVOTDATA("Count of action_name",'Pivot Tables'!$I$3,"action_name","Firm Issued","soa_subcatgy","223d")</t>
  </si>
  <si>
    <t>Commitments Rejected</t>
  </si>
  <si>
    <t>TOTAL COMMITMENTS CONSIDERED</t>
  </si>
  <si>
    <t>Closings</t>
  </si>
  <si>
    <t xml:space="preserve">Loan Modifications (IRR) Completed </t>
  </si>
  <si>
    <t>Interest Rate Reductions</t>
  </si>
  <si>
    <t>APPLICATIONS CURRENTLY IN UNDERWRITING REVIEW</t>
  </si>
  <si>
    <t>Sum of Firm Review and Initial Submittal Firm Review and Final Submittal Firm Review, if used.  Need to double check pivot table</t>
  </si>
  <si>
    <t>GETPIVOTDATA("FISCAL YEAR Latest Project Status Date",'Pivot Tables'!$A$28,"Project Status","Final Submittal of Firm Review")</t>
  </si>
  <si>
    <t>TOTAL APPLICATIONS IN QUEUE (NOT YET ASSIGNED)</t>
  </si>
  <si>
    <t>Sum of In Firm Queue and In Initial Submittal Queue, if used.  Need to double check pivot table</t>
  </si>
  <si>
    <t>223a7 Queue</t>
  </si>
  <si>
    <t>223f Regular Queue</t>
  </si>
  <si>
    <t>223f Portfolio Queue</t>
  </si>
  <si>
    <t>GETPIVOTDATA("Mid/Large Portfolio?",'Pivot Tables'!$A$90,"Project Status","In Firm Queue","Mid/Large Portfolio?","Yes")</t>
  </si>
  <si>
    <t>232 Other Queue</t>
  </si>
  <si>
    <t>New Construction</t>
  </si>
  <si>
    <t>Sub-Rehab</t>
  </si>
  <si>
    <t>241a</t>
  </si>
  <si>
    <t>Blended Rate</t>
  </si>
  <si>
    <t>Fire Safety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</si>
  <si>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New Constr/Market Acceptance/Pre-App was discontinued in mid-FY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</si>
</sst>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weeks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14" fontId="5" fillId="0" borderId="0" xfId="0" applyNumberFormat="1" applyFont="1" applyFill="1" applyAlignment="1">
      <alignment horizontal="right"/>
    </xf>
    <xf numFmtId="14" fontId="1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6" fillId="0" borderId="3" xfId="0" applyFont="1" applyBorder="1"/>
    <xf numFmtId="164" fontId="7" fillId="0" borderId="3" xfId="0" applyNumberFormat="1" applyFont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right" indent="2"/>
    </xf>
    <xf numFmtId="0" fontId="1" fillId="0" borderId="7" xfId="0" applyFont="1" applyBorder="1" applyAlignment="1">
      <alignment horizontal="right" indent="2"/>
    </xf>
    <xf numFmtId="0" fontId="1" fillId="0" borderId="8" xfId="0" applyFont="1" applyBorder="1" applyAlignment="1">
      <alignment horizontal="right" indent="2"/>
    </xf>
    <xf numFmtId="0" fontId="1" fillId="0" borderId="9" xfId="0" applyFont="1" applyBorder="1"/>
    <xf numFmtId="0" fontId="1" fillId="0" borderId="0" xfId="0" applyFont="1" applyBorder="1"/>
    <xf numFmtId="0" fontId="1" fillId="0" borderId="9" xfId="0" applyFont="1" applyBorder="1" applyAlignment="1">
      <alignment horizontal="right" indent="2"/>
    </xf>
    <xf numFmtId="0" fontId="1" fillId="0" borderId="10" xfId="0" applyFont="1" applyBorder="1" applyAlignment="1">
      <alignment horizontal="right" indent="2"/>
    </xf>
    <xf numFmtId="0" fontId="1" fillId="0" borderId="0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 indent="2"/>
    </xf>
    <xf numFmtId="0" fontId="2" fillId="0" borderId="1" xfId="0" applyFont="1" applyBorder="1" applyAlignment="1">
      <alignment horizontal="right" indent="2"/>
    </xf>
    <xf numFmtId="0" fontId="2" fillId="0" borderId="0" xfId="0" applyFont="1" applyFill="1" applyBorder="1" applyAlignment="1">
      <alignment horizontal="right" indent="2"/>
    </xf>
    <xf numFmtId="0" fontId="2" fillId="0" borderId="0" xfId="0" applyFont="1" applyBorder="1"/>
    <xf numFmtId="0" fontId="2" fillId="0" borderId="0" xfId="0" applyFont="1" applyBorder="1" applyAlignment="1">
      <alignment horizontal="right" indent="2"/>
    </xf>
    <xf numFmtId="0" fontId="1" fillId="0" borderId="3" xfId="0" applyFont="1" applyBorder="1" applyAlignment="1">
      <alignment horizontal="right" indent="2"/>
    </xf>
    <xf numFmtId="0" fontId="1" fillId="0" borderId="11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9" fillId="0" borderId="2" xfId="0" applyFont="1" applyBorder="1" applyAlignment="1">
      <alignment horizontal="right" indent="2"/>
    </xf>
    <xf numFmtId="0" fontId="9" fillId="0" borderId="3" xfId="0" applyFont="1" applyBorder="1" applyAlignment="1">
      <alignment horizontal="right" indent="2"/>
    </xf>
    <xf numFmtId="0" fontId="10" fillId="0" borderId="0" xfId="0" applyFont="1"/>
    <xf numFmtId="0" fontId="6" fillId="0" borderId="0" xfId="0" applyFont="1" applyBorder="1"/>
    <xf numFmtId="0" fontId="1" fillId="0" borderId="0" xfId="0" applyNumberFormat="1" applyFont="1"/>
    <xf numFmtId="0" fontId="2" fillId="0" borderId="2" xfId="0" applyFont="1" applyFill="1" applyBorder="1" applyAlignment="1">
      <alignment horizontal="right" indent="2"/>
    </xf>
    <xf numFmtId="0" fontId="6" fillId="0" borderId="0" xfId="0" applyFont="1"/>
    <xf numFmtId="0" fontId="11" fillId="0" borderId="0" xfId="0" applyFont="1" applyBorder="1"/>
    <xf numFmtId="0" fontId="1" fillId="0" borderId="0" xfId="0" applyFont="1" applyFill="1" applyBorder="1" applyAlignment="1">
      <alignment horizontal="right" indent="2"/>
    </xf>
    <xf numFmtId="0" fontId="1" fillId="0" borderId="12" xfId="0" applyFont="1" applyBorder="1" applyAlignment="1">
      <alignment horizontal="right" indent="2"/>
    </xf>
    <xf numFmtId="0" fontId="1" fillId="0" borderId="1" xfId="0" applyFont="1" applyBorder="1" applyAlignment="1">
      <alignment horizontal="right" indent="2"/>
    </xf>
    <xf numFmtId="0" fontId="6" fillId="0" borderId="2" xfId="0" applyFont="1" applyBorder="1"/>
    <xf numFmtId="0" fontId="2" fillId="0" borderId="3" xfId="0" applyFont="1" applyBorder="1" applyAlignment="1">
      <alignment horizontal="right" indent="2"/>
    </xf>
    <xf numFmtId="0" fontId="1" fillId="0" borderId="0" xfId="0" applyFont="1" applyAlignment="1">
      <alignment horizontal="right" indent="2"/>
    </xf>
    <xf numFmtId="0" fontId="6" fillId="0" borderId="6" xfId="0" applyFont="1" applyBorder="1"/>
    <xf numFmtId="0" fontId="2" fillId="0" borderId="5" xfId="0" applyFont="1" applyBorder="1" applyAlignment="1">
      <alignment horizontal="right" indent="2"/>
    </xf>
    <xf numFmtId="0" fontId="2" fillId="0" borderId="7" xfId="0" applyFont="1" applyBorder="1" applyAlignment="1">
      <alignment horizontal="right" indent="2"/>
    </xf>
    <xf numFmtId="0" fontId="2" fillId="0" borderId="13" xfId="0" applyFont="1" applyBorder="1" applyAlignment="1">
      <alignment horizontal="right" indent="2"/>
    </xf>
    <xf numFmtId="0" fontId="11" fillId="0" borderId="0" xfId="0" applyFont="1"/>
    <xf numFmtId="0" fontId="6" fillId="0" borderId="14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16" xfId="0" applyFont="1" applyBorder="1" applyAlignment="1">
      <alignment horizontal="right" indent="2"/>
    </xf>
    <xf numFmtId="0" fontId="2" fillId="0" borderId="17" xfId="0" applyFont="1" applyBorder="1" applyAlignment="1">
      <alignment horizontal="right" indent="2"/>
    </xf>
    <xf numFmtId="0" fontId="2" fillId="0" borderId="15" xfId="0" applyFont="1" applyBorder="1" applyAlignment="1">
      <alignment horizontal="right" indent="2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right" indent="2"/>
    </xf>
    <xf numFmtId="0" fontId="1" fillId="0" borderId="17" xfId="0" applyFont="1" applyBorder="1" applyAlignment="1">
      <alignment horizontal="center"/>
    </xf>
    <xf numFmtId="0" fontId="7" fillId="0" borderId="0" xfId="0" applyFont="1" applyFill="1" applyBorder="1" applyAlignment="1">
      <alignment horizontal="left" indent="2"/>
    </xf>
    <xf numFmtId="0" fontId="7" fillId="0" borderId="10" xfId="0" applyFont="1" applyBorder="1" applyAlignment="1">
      <alignment horizontal="right" indent="2"/>
    </xf>
    <xf numFmtId="0" fontId="7" fillId="0" borderId="0" xfId="0" applyFont="1" applyBorder="1" applyAlignment="1">
      <alignment horizontal="left" indent="2"/>
    </xf>
    <xf numFmtId="0" fontId="1" fillId="0" borderId="11" xfId="0" applyFont="1" applyBorder="1"/>
    <xf numFmtId="0" fontId="1" fillId="0" borderId="18" xfId="0" applyFont="1" applyBorder="1"/>
    <xf numFmtId="0" fontId="7" fillId="0" borderId="18" xfId="0" applyFont="1" applyBorder="1" applyAlignment="1">
      <alignment horizontal="left" indent="2"/>
    </xf>
    <xf numFmtId="0" fontId="7" fillId="0" borderId="12" xfId="0" applyFont="1" applyBorder="1" applyAlignment="1">
      <alignment horizontal="right" indent="2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0" xfId="0" applyFont="1" applyAlignment="1"/>
    <xf numFmtId="0" fontId="12" fillId="0" borderId="0" xfId="0" applyFont="1"/>
    <xf numFmtId="0" fontId="1" fillId="0" borderId="0" xfId="0" applyFont="1" applyAlignment="1"/>
    <xf numFmtId="0" fontId="13" fillId="0" borderId="0" xfId="0" applyFont="1"/>
    <xf numFmtId="0" fontId="1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ekly%20Statistical%20Report.2018.05.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"/>
      <sheetName val="Pivot Tables"/>
      <sheetName val="Paste SP Values"/>
      <sheetName val="SP Table Format Removed"/>
      <sheetName val="Instructions"/>
    </sheetNames>
    <sheetDataSet>
      <sheetData sheetId="0"/>
      <sheetData sheetId="1">
        <row r="3">
          <cell r="A3" t="str">
            <v>Count of FISCAL YEAR Date Entered Queue</v>
          </cell>
        </row>
        <row r="6">
          <cell r="B6">
            <v>161</v>
          </cell>
        </row>
        <row r="7">
          <cell r="B7">
            <v>7</v>
          </cell>
        </row>
        <row r="8">
          <cell r="B8">
            <v>6</v>
          </cell>
        </row>
        <row r="16">
          <cell r="P16" t="str">
            <v>Count of FISCAL YEAR Closed</v>
          </cell>
        </row>
        <row r="18">
          <cell r="A18" t="str">
            <v>Count of FISCAL YEAR Firm Issued</v>
          </cell>
        </row>
        <row r="20">
          <cell r="C20">
            <v>7</v>
          </cell>
          <cell r="R20">
            <v>1</v>
          </cell>
        </row>
        <row r="21">
          <cell r="R21">
            <v>7</v>
          </cell>
        </row>
        <row r="22">
          <cell r="C22">
            <v>5</v>
          </cell>
        </row>
        <row r="46">
          <cell r="A46" t="str">
            <v>Count of FISCAL YEAR Latest Project Status Date</v>
          </cell>
        </row>
        <row r="105">
          <cell r="M105">
            <v>3</v>
          </cell>
        </row>
        <row r="107">
          <cell r="M107">
            <v>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5AE22-0471-40BE-BC47-D56752E68580}">
  <sheetPr>
    <pageSetUpPr fitToPage="1"/>
  </sheetPr>
  <dimension ref="A1:AD62"/>
  <sheetViews>
    <sheetView tabSelected="1" zoomScaleNormal="100" workbookViewId="0">
      <selection activeCell="F44" sqref="F44"/>
    </sheetView>
  </sheetViews>
  <sheetFormatPr defaultColWidth="9.1796875" defaultRowHeight="14.5" x14ac:dyDescent="0.35"/>
  <cols>
    <col min="1" max="1" width="2.26953125" style="5" customWidth="1"/>
    <col min="2" max="2" width="2.1796875" style="5" customWidth="1"/>
    <col min="3" max="3" width="4.7265625" style="5" customWidth="1"/>
    <col min="4" max="4" width="17.54296875" style="5" customWidth="1"/>
    <col min="5" max="5" width="28.26953125" style="5" customWidth="1"/>
    <col min="6" max="7" width="9.54296875" style="77" customWidth="1"/>
    <col min="8" max="8" width="10.453125" style="77" customWidth="1"/>
    <col min="9" max="12" width="11.7265625" style="77" customWidth="1"/>
    <col min="13" max="15" width="11.7265625" style="5" customWidth="1"/>
    <col min="16" max="20" width="9.1796875" style="5"/>
    <col min="21" max="21" width="10.26953125" style="5" bestFit="1" customWidth="1"/>
    <col min="22" max="22" width="9.1796875" style="5"/>
    <col min="23" max="23" width="10.26953125" style="5" bestFit="1" customWidth="1"/>
    <col min="24" max="16384" width="9.1796875" style="5"/>
  </cols>
  <sheetData>
    <row r="1" spans="1:21" s="2" customFormat="1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s="2" customFormat="1" ht="18.5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ht="15.5" x14ac:dyDescent="0.3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1" ht="15.5" x14ac:dyDescent="0.35">
      <c r="A4" s="4"/>
      <c r="B4" s="4"/>
      <c r="C4" s="4"/>
      <c r="D4" s="4"/>
      <c r="E4" s="6">
        <v>43224</v>
      </c>
      <c r="F4" s="4"/>
      <c r="G4" s="4"/>
      <c r="H4" s="4"/>
      <c r="I4" s="4"/>
      <c r="J4" s="4"/>
      <c r="K4" s="4"/>
      <c r="L4" s="4"/>
      <c r="M4" s="4"/>
      <c r="N4" s="4"/>
      <c r="O4" s="4"/>
      <c r="U4" s="7">
        <v>43009</v>
      </c>
    </row>
    <row r="6" spans="1:21" ht="29" x14ac:dyDescent="0.35">
      <c r="B6" s="8" t="s">
        <v>3</v>
      </c>
      <c r="C6" s="9"/>
      <c r="D6" s="9"/>
      <c r="E6" s="9"/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1" t="s">
        <v>10</v>
      </c>
      <c r="M6" s="11" t="s">
        <v>11</v>
      </c>
      <c r="N6" s="11" t="s">
        <v>12</v>
      </c>
      <c r="O6" s="11" t="s">
        <v>13</v>
      </c>
    </row>
    <row r="7" spans="1:21" ht="18" customHeight="1" x14ac:dyDescent="0.35">
      <c r="B7" s="12"/>
      <c r="C7" s="13" t="s">
        <v>14</v>
      </c>
      <c r="D7" s="13"/>
      <c r="E7" s="13"/>
      <c r="F7" s="14">
        <f>(E4-U4)/7</f>
        <v>30.714285714285715</v>
      </c>
      <c r="G7" s="14"/>
      <c r="H7" s="14"/>
      <c r="I7" s="14"/>
      <c r="J7" s="14"/>
      <c r="K7" s="14"/>
      <c r="L7" s="14"/>
      <c r="M7" s="15"/>
      <c r="N7" s="15"/>
      <c r="O7" s="16"/>
    </row>
    <row r="8" spans="1:21" ht="18" customHeight="1" x14ac:dyDescent="0.35">
      <c r="B8" s="17"/>
      <c r="C8" s="18"/>
      <c r="D8" s="18" t="s">
        <v>15</v>
      </c>
      <c r="E8" s="18"/>
      <c r="F8" s="19" t="s">
        <v>16</v>
      </c>
      <c r="G8" s="19" t="s">
        <v>16</v>
      </c>
      <c r="H8" s="19" t="s">
        <v>16</v>
      </c>
      <c r="I8" s="19" t="s">
        <v>16</v>
      </c>
      <c r="J8" s="19" t="s">
        <v>16</v>
      </c>
      <c r="K8" s="19" t="s">
        <v>16</v>
      </c>
      <c r="L8" s="20" t="s">
        <v>16</v>
      </c>
      <c r="M8" s="20" t="s">
        <v>16</v>
      </c>
      <c r="N8" s="20">
        <v>60</v>
      </c>
      <c r="O8" s="21">
        <v>64</v>
      </c>
    </row>
    <row r="9" spans="1:21" ht="18" customHeight="1" x14ac:dyDescent="0.35">
      <c r="B9" s="22"/>
      <c r="C9" s="23"/>
      <c r="D9" s="23" t="s">
        <v>17</v>
      </c>
      <c r="E9" s="23"/>
      <c r="F9" s="24">
        <f>+'[1]Pivot Tables'!B7+'[1]Pivot Tables'!B8</f>
        <v>13</v>
      </c>
      <c r="G9" s="24">
        <v>26</v>
      </c>
      <c r="H9" s="24">
        <v>28</v>
      </c>
      <c r="I9" s="24">
        <v>22</v>
      </c>
      <c r="J9" s="24">
        <v>30</v>
      </c>
      <c r="K9" s="24">
        <v>31</v>
      </c>
      <c r="L9" s="24">
        <v>35</v>
      </c>
      <c r="M9" s="25">
        <v>58</v>
      </c>
      <c r="N9" s="25">
        <v>79</v>
      </c>
      <c r="O9" s="25">
        <v>8</v>
      </c>
    </row>
    <row r="10" spans="1:21" ht="18" customHeight="1" x14ac:dyDescent="0.35">
      <c r="B10" s="22"/>
      <c r="C10" s="23"/>
      <c r="D10" s="23" t="s">
        <v>18</v>
      </c>
      <c r="E10" s="23"/>
      <c r="F10" s="24">
        <f>+'[1]Pivot Tables'!B6+6</f>
        <v>167</v>
      </c>
      <c r="G10" s="24">
        <v>351</v>
      </c>
      <c r="H10" s="24">
        <v>270</v>
      </c>
      <c r="I10" s="24">
        <v>228</v>
      </c>
      <c r="J10" s="24">
        <v>307</v>
      </c>
      <c r="K10" s="24">
        <v>456</v>
      </c>
      <c r="L10" s="24">
        <v>221</v>
      </c>
      <c r="M10" s="25">
        <v>347</v>
      </c>
      <c r="N10" s="25">
        <v>490</v>
      </c>
      <c r="O10" s="21">
        <v>180</v>
      </c>
    </row>
    <row r="11" spans="1:21" ht="18" customHeight="1" x14ac:dyDescent="0.35">
      <c r="B11" s="22"/>
      <c r="C11" s="23"/>
      <c r="D11" s="23" t="s">
        <v>19</v>
      </c>
      <c r="E11" s="23"/>
      <c r="F11" s="24">
        <f>GETPIVOTDATA("FISCAL YEAR Date Entered Queue",'[1]Pivot Tables'!$A$3,"Type of Project","223a7")</f>
        <v>7</v>
      </c>
      <c r="G11" s="24">
        <v>28</v>
      </c>
      <c r="H11" s="24">
        <v>9</v>
      </c>
      <c r="I11" s="24">
        <v>46</v>
      </c>
      <c r="J11" s="24">
        <v>41</v>
      </c>
      <c r="K11" s="24">
        <v>399</v>
      </c>
      <c r="L11" s="24">
        <v>458</v>
      </c>
      <c r="M11" s="25">
        <v>301</v>
      </c>
      <c r="N11" s="25">
        <v>138</v>
      </c>
      <c r="O11" s="21">
        <v>16</v>
      </c>
    </row>
    <row r="12" spans="1:21" ht="18" customHeight="1" x14ac:dyDescent="0.35">
      <c r="B12" s="22"/>
      <c r="C12" s="23"/>
      <c r="D12" s="23" t="s">
        <v>20</v>
      </c>
      <c r="E12" s="23"/>
      <c r="F12" s="24">
        <v>0</v>
      </c>
      <c r="G12" s="24">
        <v>1</v>
      </c>
      <c r="H12" s="24">
        <v>0</v>
      </c>
      <c r="I12" s="24">
        <v>0</v>
      </c>
      <c r="J12" s="24">
        <v>1</v>
      </c>
      <c r="K12" s="24">
        <v>1</v>
      </c>
      <c r="L12" s="24">
        <v>0</v>
      </c>
      <c r="M12" s="25">
        <v>1</v>
      </c>
      <c r="N12" s="25">
        <v>1</v>
      </c>
      <c r="O12" s="21">
        <v>3</v>
      </c>
    </row>
    <row r="13" spans="1:21" ht="18" customHeight="1" x14ac:dyDescent="0.35">
      <c r="B13" s="22"/>
      <c r="C13" s="23"/>
      <c r="D13" s="26" t="s">
        <v>21</v>
      </c>
      <c r="E13" s="23"/>
      <c r="F13" s="24">
        <v>0</v>
      </c>
      <c r="G13" s="24">
        <v>1</v>
      </c>
      <c r="H13" s="24">
        <v>0</v>
      </c>
      <c r="I13" s="24">
        <v>1</v>
      </c>
      <c r="J13" s="24">
        <v>1</v>
      </c>
      <c r="K13" s="24">
        <v>2</v>
      </c>
      <c r="L13" s="24">
        <v>1</v>
      </c>
      <c r="M13" s="25"/>
      <c r="N13" s="25"/>
      <c r="O13" s="21"/>
    </row>
    <row r="14" spans="1:21" ht="18" customHeight="1" x14ac:dyDescent="0.35">
      <c r="B14" s="27"/>
      <c r="C14" s="28"/>
      <c r="D14" s="28" t="s">
        <v>22</v>
      </c>
      <c r="E14" s="28"/>
      <c r="F14" s="29">
        <f>SUM(F9:F13)</f>
        <v>187</v>
      </c>
      <c r="G14" s="29">
        <v>407</v>
      </c>
      <c r="H14" s="29">
        <v>307</v>
      </c>
      <c r="I14" s="29">
        <v>297</v>
      </c>
      <c r="J14" s="29">
        <v>379</v>
      </c>
      <c r="K14" s="30">
        <v>887</v>
      </c>
      <c r="L14" s="29">
        <f>SUM(L9:L13)</f>
        <v>715</v>
      </c>
      <c r="M14" s="30">
        <v>708</v>
      </c>
      <c r="N14" s="30">
        <v>768</v>
      </c>
      <c r="O14" s="30">
        <v>271</v>
      </c>
      <c r="R14" s="31"/>
    </row>
    <row r="15" spans="1:21" ht="9" customHeight="1" x14ac:dyDescent="0.35">
      <c r="B15" s="32"/>
      <c r="C15" s="32"/>
      <c r="D15" s="32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21" ht="18" customHeight="1" x14ac:dyDescent="0.35">
      <c r="B16" s="12"/>
      <c r="C16" s="13" t="s">
        <v>15</v>
      </c>
      <c r="D16" s="13"/>
      <c r="E16" s="13"/>
      <c r="F16" s="34"/>
      <c r="G16" s="34"/>
      <c r="H16" s="34"/>
      <c r="I16" s="34"/>
      <c r="J16" s="34"/>
      <c r="K16" s="34"/>
      <c r="L16" s="34"/>
      <c r="M16" s="15"/>
      <c r="N16" s="15"/>
      <c r="O16" s="16"/>
    </row>
    <row r="17" spans="2:19" ht="18" customHeight="1" x14ac:dyDescent="0.35">
      <c r="B17" s="17"/>
      <c r="C17" s="18"/>
      <c r="D17" s="18" t="s">
        <v>23</v>
      </c>
      <c r="E17" s="18"/>
      <c r="F17" s="19" t="s">
        <v>16</v>
      </c>
      <c r="G17" s="19" t="s">
        <v>16</v>
      </c>
      <c r="H17" s="19" t="s">
        <v>16</v>
      </c>
      <c r="I17" s="19" t="s">
        <v>16</v>
      </c>
      <c r="J17" s="19" t="s">
        <v>16</v>
      </c>
      <c r="K17" s="19" t="s">
        <v>16</v>
      </c>
      <c r="L17" s="20" t="s">
        <v>16</v>
      </c>
      <c r="M17" s="20" t="s">
        <v>16</v>
      </c>
      <c r="N17" s="20">
        <v>45</v>
      </c>
      <c r="O17" s="21">
        <v>32</v>
      </c>
    </row>
    <row r="18" spans="2:19" ht="18" customHeight="1" x14ac:dyDescent="0.35">
      <c r="B18" s="22"/>
      <c r="C18" s="23"/>
      <c r="D18" s="23" t="s">
        <v>24</v>
      </c>
      <c r="E18" s="23"/>
      <c r="F18" s="35" t="s">
        <v>16</v>
      </c>
      <c r="G18" s="35" t="s">
        <v>16</v>
      </c>
      <c r="H18" s="35" t="s">
        <v>16</v>
      </c>
      <c r="I18" s="35" t="s">
        <v>16</v>
      </c>
      <c r="J18" s="35" t="s">
        <v>16</v>
      </c>
      <c r="K18" s="35" t="s">
        <v>16</v>
      </c>
      <c r="L18" s="25" t="s">
        <v>16</v>
      </c>
      <c r="M18" s="25" t="s">
        <v>16</v>
      </c>
      <c r="N18" s="25">
        <v>34</v>
      </c>
      <c r="O18" s="25">
        <v>5</v>
      </c>
    </row>
    <row r="19" spans="2:19" ht="18" customHeight="1" x14ac:dyDescent="0.35">
      <c r="B19" s="27"/>
      <c r="C19" s="28"/>
      <c r="D19" s="28" t="s">
        <v>22</v>
      </c>
      <c r="E19" s="28"/>
      <c r="F19" s="29"/>
      <c r="G19" s="29"/>
      <c r="H19" s="29"/>
      <c r="I19" s="29"/>
      <c r="J19" s="29"/>
      <c r="K19" s="29"/>
      <c r="L19" s="29"/>
      <c r="M19" s="30"/>
      <c r="N19" s="30">
        <v>79</v>
      </c>
      <c r="O19" s="30">
        <v>37</v>
      </c>
    </row>
    <row r="20" spans="2:19" ht="6.75" customHeight="1" x14ac:dyDescent="0.35">
      <c r="F20" s="36"/>
      <c r="G20" s="36"/>
      <c r="H20" s="36"/>
      <c r="I20" s="36"/>
      <c r="J20" s="36"/>
      <c r="K20" s="36"/>
      <c r="L20" s="36"/>
    </row>
    <row r="21" spans="2:19" ht="18" customHeight="1" x14ac:dyDescent="0.35">
      <c r="B21" s="12"/>
      <c r="C21" s="13" t="s">
        <v>25</v>
      </c>
      <c r="D21" s="15"/>
      <c r="E21" s="15"/>
      <c r="F21" s="37"/>
      <c r="G21" s="38"/>
      <c r="H21" s="38"/>
      <c r="I21" s="38"/>
      <c r="J21" s="38"/>
      <c r="K21" s="38"/>
      <c r="L21" s="38"/>
      <c r="M21" s="15"/>
      <c r="N21" s="15"/>
      <c r="O21" s="16"/>
      <c r="Q21" s="39"/>
    </row>
    <row r="22" spans="2:19" ht="18" customHeight="1" x14ac:dyDescent="0.35">
      <c r="B22" s="22"/>
      <c r="C22" s="40"/>
      <c r="D22" s="23" t="s">
        <v>26</v>
      </c>
      <c r="E22" s="23"/>
      <c r="F22" s="19">
        <f>+'[1]Pivot Tables'!C22</f>
        <v>5</v>
      </c>
      <c r="G22" s="24">
        <v>17</v>
      </c>
      <c r="H22" s="24">
        <v>13</v>
      </c>
      <c r="I22" s="24">
        <v>16</v>
      </c>
      <c r="J22" s="24">
        <v>19</v>
      </c>
      <c r="K22" s="24">
        <v>26</v>
      </c>
      <c r="L22" s="19">
        <v>25</v>
      </c>
      <c r="M22" s="20">
        <v>31</v>
      </c>
      <c r="N22" s="20">
        <v>18</v>
      </c>
      <c r="O22" s="21">
        <v>4</v>
      </c>
      <c r="S22" s="5" t="s">
        <v>27</v>
      </c>
    </row>
    <row r="23" spans="2:19" ht="18" customHeight="1" x14ac:dyDescent="0.35">
      <c r="B23" s="22"/>
      <c r="C23" s="40"/>
      <c r="D23" s="23" t="s">
        <v>18</v>
      </c>
      <c r="E23" s="23"/>
      <c r="F23" s="24">
        <f>GETPIVOTDATA("FISCAL YEAR Firm Issued",'[1]Pivot Tables'!$A$18,"Type of Project","223f")+5</f>
        <v>159</v>
      </c>
      <c r="G23" s="24">
        <v>266</v>
      </c>
      <c r="H23" s="24">
        <v>275</v>
      </c>
      <c r="I23" s="24">
        <v>212</v>
      </c>
      <c r="J23" s="24">
        <v>420</v>
      </c>
      <c r="K23" s="24">
        <v>250</v>
      </c>
      <c r="L23" s="24">
        <v>354</v>
      </c>
      <c r="M23" s="25">
        <v>231</v>
      </c>
      <c r="N23" s="25">
        <v>200</v>
      </c>
      <c r="O23" s="21">
        <v>119</v>
      </c>
    </row>
    <row r="24" spans="2:19" ht="18" customHeight="1" x14ac:dyDescent="0.35">
      <c r="B24" s="22"/>
      <c r="C24" s="40"/>
      <c r="D24" s="23" t="s">
        <v>19</v>
      </c>
      <c r="E24" s="23"/>
      <c r="F24" s="24">
        <f>+'[1]Pivot Tables'!C20</f>
        <v>7</v>
      </c>
      <c r="G24" s="24">
        <v>26</v>
      </c>
      <c r="H24" s="24">
        <v>9</v>
      </c>
      <c r="I24" s="24">
        <v>52</v>
      </c>
      <c r="J24" s="24">
        <v>55</v>
      </c>
      <c r="K24" s="24">
        <v>522</v>
      </c>
      <c r="L24" s="24">
        <v>406</v>
      </c>
      <c r="M24" s="25">
        <v>210</v>
      </c>
      <c r="N24" s="25">
        <v>98</v>
      </c>
      <c r="O24" s="21">
        <v>8</v>
      </c>
      <c r="S24" s="41" t="s">
        <v>28</v>
      </c>
    </row>
    <row r="25" spans="2:19" ht="18" customHeight="1" x14ac:dyDescent="0.35">
      <c r="B25" s="22"/>
      <c r="C25" s="40"/>
      <c r="D25" s="26" t="s">
        <v>29</v>
      </c>
      <c r="E25" s="23"/>
      <c r="F25" s="24">
        <f>GETPIVOTDATA("FISCAL YEAR Firm Issued",'[1]Pivot Tables'!$A$18,"Type of Project","241a")</f>
        <v>10</v>
      </c>
      <c r="G25" s="24">
        <v>5</v>
      </c>
      <c r="H25" s="24">
        <v>9</v>
      </c>
      <c r="I25" s="24">
        <v>18</v>
      </c>
      <c r="J25" s="24">
        <v>13</v>
      </c>
      <c r="K25" s="24">
        <v>7</v>
      </c>
      <c r="L25" s="24">
        <v>7</v>
      </c>
      <c r="M25" s="24">
        <v>5</v>
      </c>
      <c r="N25" s="24">
        <v>1</v>
      </c>
      <c r="O25" s="25">
        <v>0</v>
      </c>
      <c r="S25" s="41"/>
    </row>
    <row r="26" spans="2:19" ht="18" customHeight="1" x14ac:dyDescent="0.35">
      <c r="B26" s="22"/>
      <c r="C26" s="40"/>
      <c r="D26" s="23" t="s">
        <v>20</v>
      </c>
      <c r="E26" s="23"/>
      <c r="F26" s="24">
        <v>0</v>
      </c>
      <c r="G26" s="24">
        <v>1</v>
      </c>
      <c r="H26" s="24">
        <v>0</v>
      </c>
      <c r="I26" s="24">
        <v>0</v>
      </c>
      <c r="J26" s="24">
        <v>1</v>
      </c>
      <c r="K26" s="24">
        <v>1</v>
      </c>
      <c r="L26" s="24">
        <v>0</v>
      </c>
      <c r="M26" s="25">
        <v>1</v>
      </c>
      <c r="N26" s="25">
        <v>2</v>
      </c>
      <c r="O26" s="21">
        <v>1</v>
      </c>
      <c r="S26" s="5" t="s">
        <v>30</v>
      </c>
    </row>
    <row r="27" spans="2:19" ht="18" customHeight="1" x14ac:dyDescent="0.35">
      <c r="B27" s="27"/>
      <c r="C27" s="13"/>
      <c r="D27" s="28" t="s">
        <v>22</v>
      </c>
      <c r="E27" s="28"/>
      <c r="F27" s="29">
        <f>SUM(F22:F26)</f>
        <v>181</v>
      </c>
      <c r="G27" s="29">
        <v>315</v>
      </c>
      <c r="H27" s="29">
        <v>306</v>
      </c>
      <c r="I27" s="29">
        <v>298</v>
      </c>
      <c r="J27" s="29">
        <v>508</v>
      </c>
      <c r="K27" s="42">
        <v>806</v>
      </c>
      <c r="L27" s="29">
        <f>SUM(L22:L26)</f>
        <v>792</v>
      </c>
      <c r="M27" s="30">
        <v>473</v>
      </c>
      <c r="N27" s="30">
        <v>318</v>
      </c>
      <c r="O27" s="30">
        <v>132</v>
      </c>
    </row>
    <row r="28" spans="2:19" ht="18" customHeight="1" x14ac:dyDescent="0.35">
      <c r="B28" s="12"/>
      <c r="C28" s="13" t="s">
        <v>31</v>
      </c>
      <c r="D28" s="15"/>
      <c r="E28" s="15"/>
      <c r="F28" s="34"/>
      <c r="G28" s="34"/>
      <c r="H28" s="34"/>
      <c r="I28" s="34"/>
      <c r="J28" s="34"/>
      <c r="K28" s="34"/>
      <c r="L28" s="34"/>
      <c r="M28" s="15"/>
      <c r="N28" s="15"/>
      <c r="O28" s="16"/>
    </row>
    <row r="29" spans="2:19" ht="18" customHeight="1" x14ac:dyDescent="0.35">
      <c r="B29" s="22"/>
      <c r="C29" s="40"/>
      <c r="D29" s="23" t="s">
        <v>17</v>
      </c>
      <c r="E29" s="23"/>
      <c r="F29" s="24">
        <v>0</v>
      </c>
      <c r="G29" s="24">
        <v>2</v>
      </c>
      <c r="H29" s="19">
        <v>3</v>
      </c>
      <c r="I29" s="19">
        <v>2</v>
      </c>
      <c r="J29" s="19">
        <v>0</v>
      </c>
      <c r="K29" s="19">
        <v>6</v>
      </c>
      <c r="L29" s="19">
        <v>5</v>
      </c>
      <c r="M29" s="20">
        <v>12</v>
      </c>
      <c r="N29" s="20">
        <v>4</v>
      </c>
      <c r="O29" s="21">
        <v>0</v>
      </c>
    </row>
    <row r="30" spans="2:19" ht="18" customHeight="1" x14ac:dyDescent="0.35">
      <c r="B30" s="22"/>
      <c r="C30" s="40"/>
      <c r="D30" s="23" t="s">
        <v>18</v>
      </c>
      <c r="E30" s="23"/>
      <c r="F30" s="24">
        <f>GETPIVOTDATA("FISCAL YEAR Latest Project Status Date",'[1]Pivot Tables'!$A$46,"Project Status","Rejected","Type of Project","223f","FISCAL YEAR Latest Project Status Date",2018)</f>
        <v>3</v>
      </c>
      <c r="G30" s="24">
        <v>10</v>
      </c>
      <c r="H30" s="24">
        <v>21</v>
      </c>
      <c r="I30" s="24">
        <v>0</v>
      </c>
      <c r="J30" s="24">
        <v>1</v>
      </c>
      <c r="K30" s="24">
        <v>2</v>
      </c>
      <c r="L30" s="24">
        <v>7</v>
      </c>
      <c r="M30" s="25">
        <v>10</v>
      </c>
      <c r="N30" s="25">
        <v>25</v>
      </c>
      <c r="O30" s="21">
        <v>0</v>
      </c>
    </row>
    <row r="31" spans="2:19" ht="18" customHeight="1" x14ac:dyDescent="0.35">
      <c r="B31" s="22"/>
      <c r="C31" s="40"/>
      <c r="D31" s="23" t="s">
        <v>19</v>
      </c>
      <c r="E31" s="23"/>
      <c r="F31" s="24">
        <f>GETPIVOTDATA("FISCAL YEAR Latest Project Status Date",'[1]Pivot Tables'!$A$46,"Project Status","Rejected","Type of Project","223a7","FISCAL YEAR Latest Project Status Date",2018)</f>
        <v>1</v>
      </c>
      <c r="G31" s="24">
        <v>0</v>
      </c>
      <c r="H31" s="24">
        <v>3</v>
      </c>
      <c r="I31" s="24">
        <v>0</v>
      </c>
      <c r="J31" s="24">
        <v>0</v>
      </c>
      <c r="K31" s="24">
        <v>0</v>
      </c>
      <c r="L31" s="24"/>
      <c r="M31" s="25"/>
      <c r="N31" s="25"/>
      <c r="O31" s="21"/>
    </row>
    <row r="32" spans="2:19" ht="18" customHeight="1" x14ac:dyDescent="0.35">
      <c r="B32" s="22"/>
      <c r="C32" s="40"/>
      <c r="D32" s="23" t="s">
        <v>20</v>
      </c>
      <c r="E32" s="23"/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5">
        <v>0</v>
      </c>
      <c r="N32" s="25">
        <v>0</v>
      </c>
      <c r="O32" s="21">
        <v>2</v>
      </c>
    </row>
    <row r="33" spans="2:30" ht="18" customHeight="1" x14ac:dyDescent="0.35">
      <c r="B33" s="27"/>
      <c r="C33" s="13"/>
      <c r="D33" s="28" t="s">
        <v>22</v>
      </c>
      <c r="E33" s="28"/>
      <c r="F33" s="29">
        <f>SUM(F29:F32)</f>
        <v>4</v>
      </c>
      <c r="G33" s="29">
        <v>12</v>
      </c>
      <c r="H33" s="29">
        <v>27</v>
      </c>
      <c r="I33" s="29">
        <v>2</v>
      </c>
      <c r="J33" s="29">
        <v>1</v>
      </c>
      <c r="K33" s="29">
        <v>8</v>
      </c>
      <c r="L33" s="29">
        <f>SUM(L29:L32)</f>
        <v>12</v>
      </c>
      <c r="M33" s="30">
        <v>22</v>
      </c>
      <c r="N33" s="30">
        <v>29</v>
      </c>
      <c r="O33" s="30">
        <v>2</v>
      </c>
    </row>
    <row r="34" spans="2:30" ht="18" customHeight="1" x14ac:dyDescent="0.35">
      <c r="B34" s="27"/>
      <c r="C34" s="28" t="s">
        <v>32</v>
      </c>
      <c r="D34" s="28"/>
      <c r="E34" s="28"/>
      <c r="F34" s="29">
        <f>F27+F33</f>
        <v>185</v>
      </c>
      <c r="G34" s="29">
        <v>327</v>
      </c>
      <c r="H34" s="29">
        <v>333</v>
      </c>
      <c r="I34" s="29">
        <v>300</v>
      </c>
      <c r="J34" s="29">
        <v>509</v>
      </c>
      <c r="K34" s="29">
        <v>814</v>
      </c>
      <c r="L34" s="29">
        <f>L27+L33</f>
        <v>804</v>
      </c>
      <c r="M34" s="30">
        <v>495</v>
      </c>
      <c r="N34" s="30">
        <v>347</v>
      </c>
      <c r="O34" s="30">
        <v>134</v>
      </c>
    </row>
    <row r="35" spans="2:30" ht="18" customHeight="1" x14ac:dyDescent="0.35">
      <c r="C35" s="43"/>
      <c r="F35" s="36"/>
      <c r="G35" s="36"/>
      <c r="H35" s="36"/>
      <c r="I35" s="36"/>
      <c r="J35" s="36"/>
      <c r="K35" s="36"/>
      <c r="L35" s="36"/>
    </row>
    <row r="36" spans="2:30" ht="18" customHeight="1" x14ac:dyDescent="0.35">
      <c r="B36" s="12"/>
      <c r="C36" s="13" t="s">
        <v>33</v>
      </c>
      <c r="D36" s="15"/>
      <c r="E36" s="15"/>
      <c r="F36" s="37"/>
      <c r="G36" s="38"/>
      <c r="H36" s="38"/>
      <c r="I36" s="38"/>
      <c r="J36" s="38"/>
      <c r="K36" s="38"/>
      <c r="L36" s="38"/>
      <c r="M36" s="15"/>
      <c r="N36" s="15"/>
      <c r="O36" s="16"/>
    </row>
    <row r="37" spans="2:30" ht="18" customHeight="1" x14ac:dyDescent="0.35">
      <c r="B37" s="22"/>
      <c r="C37" s="44"/>
      <c r="D37" s="23" t="s">
        <v>17</v>
      </c>
      <c r="E37" s="23"/>
      <c r="F37" s="20">
        <f>+'[1]Pivot Tables'!R20+'[1]Pivot Tables'!R21+GETPIVOTDATA("FISCAL YEAR Closed",'[1]Pivot Tables'!$P$16,"Type of Project","241a")+GETPIVOTDATA("FISCAL YEAR Closed",'[1]Pivot Tables'!$P$16,"Type of Project","232sr")</f>
        <v>17</v>
      </c>
      <c r="G37" s="36">
        <v>16</v>
      </c>
      <c r="H37" s="36">
        <v>23</v>
      </c>
      <c r="I37" s="36">
        <v>27</v>
      </c>
      <c r="J37" s="36">
        <v>37</v>
      </c>
      <c r="K37" s="45">
        <v>23</v>
      </c>
      <c r="L37" s="19">
        <v>24</v>
      </c>
      <c r="M37" s="20">
        <v>24</v>
      </c>
      <c r="N37" s="20">
        <v>11</v>
      </c>
      <c r="O37" s="21">
        <v>3</v>
      </c>
      <c r="S37" s="41"/>
      <c r="W37" s="7"/>
    </row>
    <row r="38" spans="2:30" ht="18" customHeight="1" x14ac:dyDescent="0.35">
      <c r="B38" s="22"/>
      <c r="C38" s="44"/>
      <c r="D38" s="23" t="s">
        <v>18</v>
      </c>
      <c r="E38" s="23"/>
      <c r="F38" s="25">
        <f>GETPIVOTDATA("FISCAL YEAR Closed",'[1]Pivot Tables'!$P$16,"Type of Project","223f")</f>
        <v>142</v>
      </c>
      <c r="G38" s="36">
        <v>268</v>
      </c>
      <c r="H38" s="36">
        <v>254</v>
      </c>
      <c r="I38" s="36">
        <v>225</v>
      </c>
      <c r="J38" s="36">
        <v>341</v>
      </c>
      <c r="K38" s="45">
        <v>258</v>
      </c>
      <c r="L38" s="24">
        <v>311</v>
      </c>
      <c r="M38" s="25">
        <v>221</v>
      </c>
      <c r="N38" s="25">
        <v>214</v>
      </c>
      <c r="O38" s="21">
        <v>79</v>
      </c>
      <c r="W38" s="7"/>
    </row>
    <row r="39" spans="2:30" ht="18" customHeight="1" x14ac:dyDescent="0.35">
      <c r="B39" s="22"/>
      <c r="C39" s="44"/>
      <c r="D39" s="23" t="s">
        <v>19</v>
      </c>
      <c r="E39" s="23"/>
      <c r="F39" s="25">
        <f>GETPIVOTDATA("FISCAL YEAR Closed",'[1]Pivot Tables'!$P$16,"Type of Project","223a7")</f>
        <v>4</v>
      </c>
      <c r="G39" s="36">
        <v>25</v>
      </c>
      <c r="H39" s="36">
        <v>10</v>
      </c>
      <c r="I39" s="36">
        <v>39</v>
      </c>
      <c r="J39" s="36">
        <v>105</v>
      </c>
      <c r="K39" s="45">
        <v>484</v>
      </c>
      <c r="L39" s="24">
        <v>371</v>
      </c>
      <c r="M39" s="25">
        <v>168</v>
      </c>
      <c r="N39" s="25">
        <v>84</v>
      </c>
      <c r="O39" s="21">
        <v>5</v>
      </c>
      <c r="S39" s="41"/>
    </row>
    <row r="40" spans="2:30" ht="18" customHeight="1" x14ac:dyDescent="0.35">
      <c r="B40" s="22"/>
      <c r="C40" s="44"/>
      <c r="D40" s="23" t="s">
        <v>20</v>
      </c>
      <c r="E40" s="23"/>
      <c r="F40" s="46">
        <v>0</v>
      </c>
      <c r="G40" s="36">
        <v>1</v>
      </c>
      <c r="H40" s="36">
        <v>0</v>
      </c>
      <c r="I40" s="36">
        <v>0</v>
      </c>
      <c r="J40" s="36">
        <v>1</v>
      </c>
      <c r="K40" s="45">
        <v>1</v>
      </c>
      <c r="L40" s="24">
        <v>0</v>
      </c>
      <c r="M40" s="25">
        <v>2</v>
      </c>
      <c r="N40" s="25">
        <v>0</v>
      </c>
      <c r="O40" s="21">
        <v>1</v>
      </c>
      <c r="Q40" s="5">
        <f>F34+F47+F48</f>
        <v>304</v>
      </c>
    </row>
    <row r="41" spans="2:30" ht="18" customHeight="1" x14ac:dyDescent="0.35">
      <c r="B41" s="27"/>
      <c r="C41" s="13"/>
      <c r="D41" s="28" t="s">
        <v>22</v>
      </c>
      <c r="E41" s="28"/>
      <c r="F41" s="29">
        <f>SUM(F37:F40)</f>
        <v>163</v>
      </c>
      <c r="G41" s="29">
        <v>310</v>
      </c>
      <c r="H41" s="29">
        <v>287</v>
      </c>
      <c r="I41" s="29">
        <v>291</v>
      </c>
      <c r="J41" s="29">
        <v>484</v>
      </c>
      <c r="K41" s="42">
        <v>766</v>
      </c>
      <c r="L41" s="29">
        <f>SUM(L37:L40)</f>
        <v>706</v>
      </c>
      <c r="M41" s="30">
        <v>415</v>
      </c>
      <c r="N41" s="30">
        <v>309</v>
      </c>
      <c r="O41" s="30">
        <v>88</v>
      </c>
    </row>
    <row r="42" spans="2:30" ht="18" customHeight="1" x14ac:dyDescent="0.35">
      <c r="B42" s="32"/>
      <c r="C42" s="40"/>
      <c r="D42" s="32"/>
      <c r="E42" s="32"/>
      <c r="F42" s="33"/>
      <c r="G42" s="33"/>
      <c r="H42" s="33"/>
      <c r="I42" s="33"/>
      <c r="J42" s="33"/>
      <c r="K42" s="31"/>
      <c r="L42" s="33"/>
      <c r="M42" s="33"/>
      <c r="N42" s="33"/>
      <c r="O42" s="33"/>
    </row>
    <row r="43" spans="2:30" ht="18" customHeight="1" x14ac:dyDescent="0.35">
      <c r="B43" s="12"/>
      <c r="C43" s="13" t="s">
        <v>34</v>
      </c>
      <c r="D43" s="15"/>
      <c r="E43" s="15"/>
      <c r="F43" s="37"/>
      <c r="G43" s="38"/>
      <c r="H43" s="38"/>
      <c r="I43" s="38"/>
      <c r="J43" s="38"/>
      <c r="K43" s="38"/>
      <c r="L43" s="38"/>
      <c r="M43" s="15"/>
      <c r="N43" s="15"/>
      <c r="O43" s="16"/>
    </row>
    <row r="44" spans="2:30" ht="18" customHeight="1" x14ac:dyDescent="0.35">
      <c r="B44" s="22"/>
      <c r="C44" s="44"/>
      <c r="D44" s="26" t="s">
        <v>35</v>
      </c>
      <c r="E44" s="23"/>
      <c r="F44" s="47">
        <f>'[1]Pivot Tables'!M105+'[1]Pivot Tables'!M107</f>
        <v>8</v>
      </c>
      <c r="G44" s="36">
        <v>141</v>
      </c>
      <c r="H44" s="36">
        <v>184</v>
      </c>
      <c r="I44" s="36">
        <v>254</v>
      </c>
      <c r="J44" s="36">
        <v>80</v>
      </c>
      <c r="K44" s="45"/>
      <c r="L44" s="19"/>
      <c r="M44" s="20"/>
      <c r="N44" s="20"/>
      <c r="O44" s="30"/>
    </row>
    <row r="45" spans="2:30" ht="18" customHeight="1" x14ac:dyDescent="0.35">
      <c r="B45" s="48"/>
      <c r="C45" s="28" t="s">
        <v>22</v>
      </c>
      <c r="D45" s="28"/>
      <c r="E45" s="49"/>
      <c r="F45" s="42">
        <f>SUM(F44)</f>
        <v>8</v>
      </c>
      <c r="G45" s="42">
        <v>141</v>
      </c>
      <c r="H45" s="42">
        <v>184</v>
      </c>
      <c r="I45" s="42">
        <v>254</v>
      </c>
      <c r="J45" s="42">
        <v>80</v>
      </c>
      <c r="K45" s="29"/>
      <c r="L45" s="30"/>
      <c r="M45" s="30"/>
      <c r="N45" s="30"/>
      <c r="O45" s="30"/>
    </row>
    <row r="46" spans="2:30" ht="10.5" customHeight="1" x14ac:dyDescent="0.35">
      <c r="C46" s="43"/>
      <c r="F46" s="50"/>
      <c r="G46" s="50"/>
      <c r="H46" s="50"/>
      <c r="I46" s="50"/>
      <c r="J46" s="50"/>
      <c r="K46" s="50"/>
      <c r="L46" s="50"/>
    </row>
    <row r="47" spans="2:30" ht="18" customHeight="1" x14ac:dyDescent="0.35">
      <c r="B47" s="17"/>
      <c r="C47" s="51" t="s">
        <v>36</v>
      </c>
      <c r="D47" s="18"/>
      <c r="E47" s="18"/>
      <c r="F47" s="52">
        <f>GETPIVOTDATA("FISCAL YEAR Latest Project Status Date",'[1]Pivot Tables'!$A$46,"Project Status","Firm Review")</f>
        <v>103</v>
      </c>
      <c r="G47" s="52"/>
      <c r="H47" s="52"/>
      <c r="I47" s="52"/>
      <c r="J47" s="52"/>
      <c r="K47" s="52"/>
      <c r="L47" s="52"/>
      <c r="M47" s="53"/>
      <c r="N47" s="53"/>
      <c r="O47" s="54"/>
      <c r="Q47" s="55" t="s">
        <v>37</v>
      </c>
      <c r="AD47" s="5" t="s">
        <v>38</v>
      </c>
    </row>
    <row r="48" spans="2:30" ht="18" customHeight="1" x14ac:dyDescent="0.35">
      <c r="B48" s="22"/>
      <c r="C48" s="56" t="s">
        <v>39</v>
      </c>
      <c r="D48" s="57"/>
      <c r="E48" s="58"/>
      <c r="F48" s="59">
        <f>GETPIVOTDATA("FISCAL YEAR Latest Project Status Date",'[1]Pivot Tables'!$A$46,"Project Status","In Firm Queue")</f>
        <v>16</v>
      </c>
      <c r="G48" s="59"/>
      <c r="H48" s="59"/>
      <c r="I48" s="59"/>
      <c r="J48" s="59"/>
      <c r="K48" s="59"/>
      <c r="L48" s="59"/>
      <c r="M48" s="60"/>
      <c r="N48" s="60"/>
      <c r="O48" s="61"/>
      <c r="Q48" s="55" t="s">
        <v>40</v>
      </c>
    </row>
    <row r="49" spans="2:17" x14ac:dyDescent="0.35">
      <c r="B49" s="22"/>
      <c r="C49" s="23"/>
      <c r="D49" s="23"/>
      <c r="E49" s="23" t="s">
        <v>41</v>
      </c>
      <c r="F49" s="24">
        <v>0</v>
      </c>
      <c r="G49" s="24"/>
      <c r="H49" s="24"/>
      <c r="I49" s="24"/>
      <c r="J49" s="24"/>
      <c r="K49" s="24"/>
      <c r="L49" s="24"/>
      <c r="M49" s="62"/>
      <c r="N49" s="62"/>
      <c r="O49" s="63"/>
    </row>
    <row r="50" spans="2:17" x14ac:dyDescent="0.35">
      <c r="B50" s="22"/>
      <c r="C50" s="23"/>
      <c r="D50" s="23"/>
      <c r="E50" s="23" t="s">
        <v>42</v>
      </c>
      <c r="F50" s="24">
        <f>GETPIVOTDATA("FISCAL YEAR Latest Project Status Date",'[1]Pivot Tables'!$A$46,"Project Status","In Firm Queue","Type of Project","223f")-F52</f>
        <v>13</v>
      </c>
      <c r="G50" s="24"/>
      <c r="H50" s="24"/>
      <c r="I50" s="24"/>
      <c r="J50" s="24"/>
      <c r="K50" s="24"/>
      <c r="L50" s="24"/>
      <c r="M50" s="62"/>
      <c r="N50" s="62"/>
      <c r="O50" s="63"/>
    </row>
    <row r="51" spans="2:17" ht="15" hidden="1" customHeight="1" x14ac:dyDescent="0.35">
      <c r="B51" s="22"/>
      <c r="C51" s="23"/>
      <c r="D51" s="23"/>
      <c r="E51" s="23"/>
      <c r="F51" s="24"/>
      <c r="G51" s="24"/>
      <c r="H51" s="24"/>
      <c r="I51" s="24"/>
      <c r="J51" s="24"/>
      <c r="K51" s="24"/>
      <c r="L51" s="24"/>
      <c r="M51" s="62"/>
      <c r="N51" s="62"/>
      <c r="O51" s="63"/>
    </row>
    <row r="52" spans="2:17" x14ac:dyDescent="0.35">
      <c r="B52" s="22"/>
      <c r="C52" s="23"/>
      <c r="D52" s="23"/>
      <c r="E52" s="23" t="s">
        <v>43</v>
      </c>
      <c r="F52" s="24">
        <v>0</v>
      </c>
      <c r="G52" s="24"/>
      <c r="H52" s="24"/>
      <c r="I52" s="24"/>
      <c r="J52" s="24"/>
      <c r="K52" s="24"/>
      <c r="L52" s="24"/>
      <c r="M52" s="62"/>
      <c r="N52" s="62"/>
      <c r="O52" s="63"/>
      <c r="Q52" s="5" t="s">
        <v>44</v>
      </c>
    </row>
    <row r="53" spans="2:17" x14ac:dyDescent="0.35">
      <c r="B53" s="22"/>
      <c r="C53" s="23"/>
      <c r="D53" s="23"/>
      <c r="E53" s="58" t="s">
        <v>45</v>
      </c>
      <c r="F53" s="64">
        <f>F54+F56+F55+F57+F58</f>
        <v>2</v>
      </c>
      <c r="G53" s="64"/>
      <c r="H53" s="64"/>
      <c r="I53" s="64"/>
      <c r="J53" s="64"/>
      <c r="K53" s="64"/>
      <c r="L53" s="64"/>
      <c r="M53" s="65"/>
      <c r="N53" s="65"/>
      <c r="O53" s="65"/>
    </row>
    <row r="54" spans="2:17" x14ac:dyDescent="0.35">
      <c r="B54" s="22"/>
      <c r="C54" s="23"/>
      <c r="D54" s="23"/>
      <c r="E54" s="66" t="s">
        <v>46</v>
      </c>
      <c r="F54" s="67">
        <f>GETPIVOTDATA("FISCAL YEAR Latest Project Status Date",'[1]Pivot Tables'!$A$46,"Project Status","In Firm Queue","Type of Project","232nc")</f>
        <v>2</v>
      </c>
      <c r="G54" s="67"/>
      <c r="H54" s="67"/>
      <c r="I54" s="67"/>
      <c r="J54" s="67"/>
      <c r="K54" s="67"/>
      <c r="L54" s="67"/>
      <c r="M54" s="62"/>
      <c r="N54" s="62"/>
      <c r="O54" s="63"/>
    </row>
    <row r="55" spans="2:17" x14ac:dyDescent="0.35">
      <c r="B55" s="22"/>
      <c r="C55" s="23"/>
      <c r="D55" s="23"/>
      <c r="E55" s="66" t="s">
        <v>47</v>
      </c>
      <c r="F55" s="67">
        <v>0</v>
      </c>
      <c r="G55" s="67"/>
      <c r="H55" s="67"/>
      <c r="I55" s="67"/>
      <c r="J55" s="67"/>
      <c r="K55" s="67"/>
      <c r="L55" s="67"/>
      <c r="M55" s="62"/>
      <c r="N55" s="62"/>
      <c r="O55" s="63"/>
    </row>
    <row r="56" spans="2:17" x14ac:dyDescent="0.35">
      <c r="B56" s="22"/>
      <c r="C56" s="23"/>
      <c r="D56" s="23"/>
      <c r="E56" s="68" t="s">
        <v>48</v>
      </c>
      <c r="F56" s="67">
        <v>0</v>
      </c>
      <c r="G56" s="67"/>
      <c r="H56" s="67"/>
      <c r="I56" s="67"/>
      <c r="J56" s="67"/>
      <c r="K56" s="67"/>
      <c r="L56" s="67"/>
      <c r="M56" s="62"/>
      <c r="N56" s="62"/>
      <c r="O56" s="63"/>
    </row>
    <row r="57" spans="2:17" x14ac:dyDescent="0.35">
      <c r="B57" s="22"/>
      <c r="C57" s="23"/>
      <c r="D57" s="23"/>
      <c r="E57" s="68" t="s">
        <v>49</v>
      </c>
      <c r="F57" s="67">
        <v>0</v>
      </c>
      <c r="G57" s="67"/>
      <c r="H57" s="67"/>
      <c r="I57" s="67"/>
      <c r="J57" s="67"/>
      <c r="K57" s="67"/>
      <c r="L57" s="67"/>
      <c r="M57" s="62"/>
      <c r="N57" s="62"/>
      <c r="O57" s="63"/>
    </row>
    <row r="58" spans="2:17" x14ac:dyDescent="0.35">
      <c r="B58" s="69"/>
      <c r="C58" s="70"/>
      <c r="D58" s="70"/>
      <c r="E58" s="71" t="s">
        <v>50</v>
      </c>
      <c r="F58" s="72">
        <v>0</v>
      </c>
      <c r="G58" s="72"/>
      <c r="H58" s="72"/>
      <c r="I58" s="72"/>
      <c r="J58" s="72"/>
      <c r="K58" s="72"/>
      <c r="L58" s="72"/>
      <c r="M58" s="73"/>
      <c r="N58" s="73"/>
      <c r="O58" s="74"/>
    </row>
    <row r="59" spans="2:17" x14ac:dyDescent="0.35">
      <c r="F59" s="75"/>
      <c r="G59" s="75"/>
      <c r="H59" s="75"/>
      <c r="I59" s="75"/>
      <c r="J59" s="75"/>
      <c r="K59" s="75"/>
      <c r="L59" s="75"/>
    </row>
    <row r="60" spans="2:17" ht="16.5" x14ac:dyDescent="0.35">
      <c r="B60" s="76" t="s">
        <v>51</v>
      </c>
    </row>
    <row r="61" spans="2:17" ht="15" x14ac:dyDescent="0.35">
      <c r="B61" s="78"/>
    </row>
    <row r="62" spans="2:17" x14ac:dyDescent="0.35">
      <c r="B62" s="79"/>
    </row>
  </sheetData>
  <printOptions horizontalCentered="1"/>
  <pageMargins left="0.34" right="0.3" top="0.52" bottom="0.47" header="0.3" footer="0.3"/>
  <pageSetup scale="72" orientation="portrait" horizontalDpi="300" verticalDpi="300" r:id="rId1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Report</vt:lpstr>
      <vt:lpstr>'Summary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HUD User</cp:lastModifiedBy>
  <dcterms:created xsi:type="dcterms:W3CDTF">2018-05-07T15:01:50Z</dcterms:created>
  <dcterms:modified xsi:type="dcterms:W3CDTF">2018-05-07T15:02:52Z</dcterms:modified>
</cp:coreProperties>
</file>