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"/>
    </mc:Choice>
  </mc:AlternateContent>
  <xr:revisionPtr revIDLastSave="0" documentId="8_{CEDA84D8-66E2-4CA9-B29F-8F3C64BBCA51}" xr6:coauthVersionLast="47" xr6:coauthVersionMax="47" xr10:uidLastSave="{00000000-0000-0000-0000-000000000000}"/>
  <bookViews>
    <workbookView xWindow="-38520" yWindow="-120" windowWidth="38640" windowHeight="15840" xr2:uid="{A870E911-106B-4419-B2B2-0BC6E95D79EA}"/>
  </bookViews>
  <sheets>
    <sheet name="Summary Report" sheetId="1" r:id="rId1"/>
  </sheets>
  <externalReferences>
    <externalReference r:id="rId2"/>
  </externalReferences>
  <definedNames>
    <definedName name="_xlnm.Print_Area" localSheetId="0">'Summary Report'!$A$1:$K$59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F45" i="1"/>
  <c r="F7" i="1"/>
  <c r="G50" i="1"/>
  <c r="F35" i="1"/>
  <c r="F27" i="1"/>
  <c r="F20" i="1"/>
  <c r="F10" i="1"/>
  <c r="F50" i="1"/>
  <c r="F26" i="1"/>
  <c r="F19" i="1"/>
  <c r="F48" i="1"/>
  <c r="F38" i="1"/>
  <c r="F25" i="1"/>
  <c r="F17" i="1"/>
  <c r="F47" i="1"/>
  <c r="F37" i="1"/>
  <c r="F28" i="1"/>
  <c r="F23" i="1" l="1"/>
  <c r="F32" i="1" s="1"/>
  <c r="F31" i="1"/>
  <c r="F14" i="1"/>
  <c r="F41" i="1"/>
</calcChain>
</file>

<file path=xl/sharedStrings.xml><?xml version="1.0" encoding="utf-8"?>
<sst xmlns="http://schemas.openxmlformats.org/spreadsheetml/2006/main" count="57" uniqueCount="35">
  <si>
    <t>Office of Healthcare Programs</t>
  </si>
  <si>
    <t>Section 232 - Residential Care Facilities</t>
  </si>
  <si>
    <t xml:space="preserve">Weekly Statistical Report as of </t>
  </si>
  <si>
    <t>SUMMARY OF SECTION 232 ACTIVITY</t>
  </si>
  <si>
    <t>FY 2023 Total</t>
  </si>
  <si>
    <t>FY 2022 Total</t>
  </si>
  <si>
    <t>FY 2021 Total</t>
  </si>
  <si>
    <t>FY 2020 Total</t>
  </si>
  <si>
    <t>FY 2019 Total</t>
  </si>
  <si>
    <t>FY 2018 Total</t>
  </si>
  <si>
    <t>Applications Received</t>
  </si>
  <si>
    <r>
      <rPr>
        <b/>
        <sz val="11"/>
        <color theme="1"/>
        <rFont val="Calibri"/>
        <family val="2"/>
        <scheme val="minor"/>
      </rPr>
      <t>232</t>
    </r>
    <r>
      <rPr>
        <sz val="11"/>
        <color theme="1"/>
        <rFont val="Calibri"/>
        <family val="2"/>
        <scheme val="minor"/>
      </rPr>
      <t xml:space="preserve"> New Constr/Sub-Rehab/Blended Rate</t>
    </r>
  </si>
  <si>
    <r>
      <rPr>
        <b/>
        <sz val="11"/>
        <color theme="1"/>
        <rFont val="Calibri"/>
        <family val="2"/>
        <scheme val="minor"/>
      </rPr>
      <t>241a</t>
    </r>
    <r>
      <rPr>
        <sz val="11"/>
        <color theme="1"/>
        <rFont val="Calibri"/>
        <family val="2"/>
        <scheme val="minor"/>
      </rPr>
      <t xml:space="preserve"> Supplemental Loan</t>
    </r>
  </si>
  <si>
    <r>
      <rPr>
        <b/>
        <sz val="11"/>
        <color theme="1"/>
        <rFont val="Calibri"/>
        <family val="2"/>
        <scheme val="minor"/>
      </rPr>
      <t xml:space="preserve">223f </t>
    </r>
    <r>
      <rPr>
        <sz val="11"/>
        <color theme="1"/>
        <rFont val="Calibri"/>
        <family val="2"/>
        <scheme val="minor"/>
      </rPr>
      <t>Refinance/Purchase New FHA Loan</t>
    </r>
  </si>
  <si>
    <r>
      <rPr>
        <b/>
        <sz val="11"/>
        <color theme="1"/>
        <rFont val="Calibri"/>
        <family val="2"/>
        <scheme val="minor"/>
      </rPr>
      <t>223a7</t>
    </r>
    <r>
      <rPr>
        <sz val="11"/>
        <color theme="1"/>
        <rFont val="Calibri"/>
        <family val="2"/>
        <scheme val="minor"/>
      </rPr>
      <t xml:space="preserve"> Refinance Existing FHA Loan</t>
    </r>
  </si>
  <si>
    <r>
      <rPr>
        <b/>
        <sz val="11"/>
        <color theme="1"/>
        <rFont val="Calibri"/>
        <family val="2"/>
        <scheme val="minor"/>
      </rPr>
      <t>223d</t>
    </r>
    <r>
      <rPr>
        <sz val="11"/>
        <color theme="1"/>
        <rFont val="Calibri"/>
        <family val="2"/>
        <scheme val="minor"/>
      </rPr>
      <t xml:space="preserve"> Operating Loss Loan</t>
    </r>
  </si>
  <si>
    <r>
      <rPr>
        <b/>
        <sz val="11"/>
        <color theme="1"/>
        <rFont val="Calibri"/>
        <family val="2"/>
        <scheme val="minor"/>
      </rPr>
      <t>232i</t>
    </r>
    <r>
      <rPr>
        <sz val="11"/>
        <color theme="1"/>
        <rFont val="Calibri"/>
        <family val="2"/>
        <scheme val="minor"/>
      </rPr>
      <t xml:space="preserve"> Fire Safety Loan</t>
    </r>
  </si>
  <si>
    <t>TOTAL</t>
  </si>
  <si>
    <t>Commitments Issued</t>
  </si>
  <si>
    <t>Commitments Rejected</t>
  </si>
  <si>
    <t>TOTAL COMMITMENTS CONSIDERED</t>
  </si>
  <si>
    <t>Closings</t>
  </si>
  <si>
    <t xml:space="preserve">Loan Modifications (IRR) Completed </t>
  </si>
  <si>
    <t>Interest Rate Reductions</t>
  </si>
  <si>
    <t>APPLICATIONS CURRENTLY IN UNDERWRITING REVIEW</t>
  </si>
  <si>
    <t>Average Days in Queue</t>
  </si>
  <si>
    <t>TOTAL APPLICATIONS IN QUEUE (NOT YET ASSIGNED)</t>
  </si>
  <si>
    <t>223a7 Queue</t>
  </si>
  <si>
    <t>223f Regular Queue</t>
  </si>
  <si>
    <t>NC/SR/241a/223d Queue</t>
  </si>
  <si>
    <t>New Construction</t>
  </si>
  <si>
    <t>Sub-Rehab</t>
  </si>
  <si>
    <t>241a</t>
  </si>
  <si>
    <t>223d</t>
  </si>
  <si>
    <t>Fire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</si>
</sst>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weeks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/>
    <xf numFmtId="14" fontId="5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6" fillId="0" borderId="3" xfId="0" applyFont="1" applyBorder="1"/>
    <xf numFmtId="164" fontId="7" fillId="0" borderId="3" xfId="0" applyNumberFormat="1" applyFont="1" applyBorder="1"/>
    <xf numFmtId="164" fontId="7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right" indent="2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right" indent="2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 indent="2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/>
    <xf numFmtId="0" fontId="8" fillId="0" borderId="2" xfId="0" applyFont="1" applyBorder="1" applyAlignment="1">
      <alignment horizontal="right" indent="2"/>
    </xf>
    <xf numFmtId="0" fontId="8" fillId="0" borderId="1" xfId="0" applyFont="1" applyBorder="1" applyAlignment="1">
      <alignment horizontal="center"/>
    </xf>
    <xf numFmtId="0" fontId="6" fillId="0" borderId="0" xfId="0" applyFont="1"/>
    <xf numFmtId="0" fontId="1" fillId="0" borderId="7" xfId="0" applyFont="1" applyBorder="1" applyAlignment="1">
      <alignment horizontal="right" indent="2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right" indent="2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right" indent="2"/>
    </xf>
    <xf numFmtId="0" fontId="9" fillId="0" borderId="0" xfId="0" applyFont="1"/>
    <xf numFmtId="0" fontId="1" fillId="0" borderId="5" xfId="0" applyFont="1" applyBorder="1" applyAlignment="1">
      <alignment horizontal="right" indent="2"/>
    </xf>
    <xf numFmtId="0" fontId="1" fillId="0" borderId="6" xfId="0" applyFont="1" applyBorder="1" applyAlignment="1">
      <alignment horizontal="right" indent="2"/>
    </xf>
    <xf numFmtId="0" fontId="1" fillId="0" borderId="9" xfId="0" applyFont="1" applyBorder="1" applyAlignment="1">
      <alignment horizontal="right" indent="2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right" indent="2"/>
    </xf>
    <xf numFmtId="0" fontId="1" fillId="0" borderId="1" xfId="0" applyFont="1" applyBorder="1" applyAlignment="1">
      <alignment horizontal="center"/>
    </xf>
    <xf numFmtId="0" fontId="6" fillId="0" borderId="2" xfId="0" applyFont="1" applyBorder="1"/>
    <xf numFmtId="0" fontId="2" fillId="0" borderId="3" xfId="0" applyFont="1" applyBorder="1" applyAlignment="1">
      <alignment horizontal="right" indent="2"/>
    </xf>
    <xf numFmtId="0" fontId="1" fillId="0" borderId="7" xfId="0" applyFont="1" applyBorder="1"/>
    <xf numFmtId="0" fontId="6" fillId="0" borderId="11" xfId="0" applyFont="1" applyBorder="1"/>
    <xf numFmtId="0" fontId="1" fillId="0" borderId="11" xfId="0" applyFont="1" applyBorder="1"/>
    <xf numFmtId="0" fontId="2" fillId="0" borderId="7" xfId="0" applyFont="1" applyBorder="1" applyAlignment="1">
      <alignment horizontal="right" indent="2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right" indent="2"/>
    </xf>
    <xf numFmtId="0" fontId="6" fillId="0" borderId="12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14" xfId="0" applyFont="1" applyBorder="1" applyAlignment="1">
      <alignment horizontal="right" indent="2"/>
    </xf>
    <xf numFmtId="0" fontId="2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horizontal="right" indent="2"/>
    </xf>
    <xf numFmtId="0" fontId="1" fillId="0" borderId="4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right" indent="2"/>
    </xf>
    <xf numFmtId="0" fontId="7" fillId="0" borderId="0" xfId="0" applyFont="1" applyAlignment="1">
      <alignment horizontal="left" indent="2"/>
    </xf>
    <xf numFmtId="0" fontId="7" fillId="0" borderId="6" xfId="0" applyFont="1" applyBorder="1" applyAlignment="1">
      <alignment horizontal="right" indent="2"/>
    </xf>
    <xf numFmtId="0" fontId="1" fillId="0" borderId="9" xfId="0" applyFont="1" applyBorder="1"/>
    <xf numFmtId="0" fontId="1" fillId="0" borderId="16" xfId="0" applyFont="1" applyBorder="1"/>
    <xf numFmtId="0" fontId="7" fillId="0" borderId="16" xfId="0" applyFont="1" applyBorder="1" applyAlignment="1">
      <alignment horizontal="left" indent="2"/>
    </xf>
    <xf numFmtId="0" fontId="7" fillId="0" borderId="10" xfId="0" applyFont="1" applyBorder="1" applyAlignment="1">
      <alignment horizontal="right" indent="2"/>
    </xf>
    <xf numFmtId="0" fontId="10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Weekly%20Statistical%20Report.2023.04.07.xlsx" TargetMode="External"/><Relationship Id="rId1" Type="http://schemas.openxmlformats.org/officeDocument/2006/relationships/externalLinkPath" Target="Weekly%20Statistical%20Report.2023.04.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Report"/>
      <sheetName val="Pivot Tables"/>
      <sheetName val="Paste SP Values"/>
      <sheetName val="SP Table Format Removed"/>
      <sheetName val="IRR"/>
      <sheetName val="Instructions"/>
    </sheetNames>
    <sheetDataSet>
      <sheetData sheetId="0"/>
      <sheetData sheetId="1">
        <row r="3">
          <cell r="A3" t="str">
            <v>Count of FISCAL YEAR Date Entered Queue</v>
          </cell>
        </row>
        <row r="16">
          <cell r="R16" t="str">
            <v>Count of FISCAL YEAR Closed</v>
          </cell>
        </row>
        <row r="18">
          <cell r="A18" t="str">
            <v>Count of FISCAL YEAR Firm Issued</v>
          </cell>
        </row>
        <row r="46">
          <cell r="A46" t="str">
            <v>Count of FISCAL YEAR Latest Project Status Date</v>
          </cell>
        </row>
        <row r="128">
          <cell r="A128" t="str">
            <v>Average of Days in Portfolio Queue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432C6-0DBA-4CDD-8039-78AD5662819B}">
  <sheetPr>
    <pageSetUpPr fitToPage="1"/>
  </sheetPr>
  <dimension ref="A1:AF59"/>
  <sheetViews>
    <sheetView tabSelected="1" workbookViewId="0">
      <selection activeCell="K3" sqref="K3"/>
    </sheetView>
  </sheetViews>
  <sheetFormatPr defaultColWidth="9.1796875" defaultRowHeight="14.5" x14ac:dyDescent="0.35"/>
  <cols>
    <col min="1" max="2" width="2.1796875" style="5" customWidth="1"/>
    <col min="3" max="3" width="4.81640625" style="5" customWidth="1"/>
    <col min="4" max="4" width="17.54296875" style="5" customWidth="1"/>
    <col min="5" max="5" width="28.1796875" style="5" customWidth="1"/>
    <col min="6" max="9" width="9.54296875" style="5" customWidth="1"/>
    <col min="10" max="10" width="9.54296875" style="7" customWidth="1"/>
    <col min="11" max="11" width="9.54296875" style="5" customWidth="1"/>
    <col min="17" max="17" width="10.1796875" bestFit="1" customWidth="1"/>
    <col min="19" max="19" width="10.1796875" bestFit="1" customWidth="1"/>
    <col min="33" max="16384" width="9.1796875" style="5"/>
  </cols>
  <sheetData>
    <row r="1" spans="1:32" s="2" customFormat="1" ht="1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</row>
    <row r="2" spans="1:32" s="2" customFormat="1" ht="18.5" x14ac:dyDescent="0.4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</row>
    <row r="3" spans="1:32" ht="15.5" x14ac:dyDescent="0.3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32" ht="15.5" x14ac:dyDescent="0.35">
      <c r="A4" s="4"/>
      <c r="B4" s="4"/>
      <c r="C4" s="4"/>
      <c r="D4" s="4"/>
      <c r="E4" s="6">
        <v>45023</v>
      </c>
      <c r="F4" s="4"/>
      <c r="G4" s="4"/>
      <c r="H4" s="4"/>
      <c r="I4" s="4"/>
      <c r="K4" s="4"/>
    </row>
    <row r="6" spans="1:32" ht="29" x14ac:dyDescent="0.35">
      <c r="B6" s="8" t="s">
        <v>3</v>
      </c>
      <c r="C6" s="9"/>
      <c r="D6" s="9"/>
      <c r="E6" s="9"/>
      <c r="F6" s="10" t="s">
        <v>4</v>
      </c>
      <c r="G6" s="10" t="s">
        <v>5</v>
      </c>
      <c r="H6" s="10" t="s">
        <v>6</v>
      </c>
      <c r="I6" s="10" t="s">
        <v>7</v>
      </c>
      <c r="J6" s="10" t="s">
        <v>8</v>
      </c>
      <c r="K6" s="11" t="s">
        <v>9</v>
      </c>
    </row>
    <row r="7" spans="1:32" ht="18" customHeight="1" x14ac:dyDescent="0.35">
      <c r="B7" s="12"/>
      <c r="C7" s="13" t="s">
        <v>10</v>
      </c>
      <c r="D7" s="13"/>
      <c r="E7" s="13"/>
      <c r="F7" s="14">
        <f>(E4-Q4)/7</f>
        <v>6431.8571428571431</v>
      </c>
      <c r="G7" s="14"/>
      <c r="H7" s="14"/>
      <c r="I7" s="14"/>
      <c r="J7" s="14"/>
      <c r="K7" s="15"/>
    </row>
    <row r="8" spans="1:32" ht="18" customHeight="1" x14ac:dyDescent="0.35">
      <c r="B8" s="16"/>
      <c r="D8" t="s">
        <v>11</v>
      </c>
      <c r="F8" s="17">
        <v>0</v>
      </c>
      <c r="G8" s="17">
        <v>4</v>
      </c>
      <c r="H8" s="17">
        <v>13</v>
      </c>
      <c r="I8" s="17">
        <v>5</v>
      </c>
      <c r="J8" s="17">
        <v>11</v>
      </c>
      <c r="K8" s="18">
        <v>12</v>
      </c>
    </row>
    <row r="9" spans="1:32" ht="18" customHeight="1" x14ac:dyDescent="0.35">
      <c r="B9" s="16"/>
      <c r="D9" s="5" t="s">
        <v>12</v>
      </c>
      <c r="F9" s="17">
        <v>0</v>
      </c>
      <c r="G9" s="17">
        <v>0</v>
      </c>
      <c r="H9" s="17">
        <v>5</v>
      </c>
      <c r="I9" s="17">
        <v>7</v>
      </c>
      <c r="J9" s="17">
        <v>9</v>
      </c>
      <c r="K9" s="19">
        <v>11</v>
      </c>
    </row>
    <row r="10" spans="1:32" ht="18" customHeight="1" x14ac:dyDescent="0.35">
      <c r="B10" s="16"/>
      <c r="D10" s="5" t="s">
        <v>13</v>
      </c>
      <c r="F10" s="17">
        <f>+GETPIVOTDATA("FISCAL YEAR Date Entered Queue",'[1]Pivot Tables'!$A$3,"Type of Project","223f")</f>
        <v>76</v>
      </c>
      <c r="G10" s="17">
        <v>218</v>
      </c>
      <c r="H10" s="17">
        <v>282</v>
      </c>
      <c r="I10" s="17">
        <v>285</v>
      </c>
      <c r="J10" s="17">
        <v>321</v>
      </c>
      <c r="K10" s="19">
        <v>359</v>
      </c>
    </row>
    <row r="11" spans="1:32" ht="18" customHeight="1" x14ac:dyDescent="0.35">
      <c r="B11" s="16"/>
      <c r="D11" s="5" t="s">
        <v>14</v>
      </c>
      <c r="F11" s="17">
        <v>0</v>
      </c>
      <c r="G11" s="17">
        <v>95</v>
      </c>
      <c r="H11" s="17">
        <v>213</v>
      </c>
      <c r="I11" s="17">
        <v>131</v>
      </c>
      <c r="J11" s="17">
        <v>5</v>
      </c>
      <c r="K11" s="19">
        <v>9</v>
      </c>
    </row>
    <row r="12" spans="1:32" ht="18" customHeight="1" x14ac:dyDescent="0.35">
      <c r="B12" s="16"/>
      <c r="D12" s="5" t="s">
        <v>15</v>
      </c>
      <c r="F12" s="17">
        <v>0</v>
      </c>
      <c r="G12" s="17">
        <v>0</v>
      </c>
      <c r="H12" s="17">
        <v>37</v>
      </c>
      <c r="I12" s="17">
        <v>1</v>
      </c>
      <c r="J12" s="17">
        <v>0</v>
      </c>
      <c r="K12" s="19">
        <v>0</v>
      </c>
    </row>
    <row r="13" spans="1:32" ht="18" customHeight="1" x14ac:dyDescent="0.35">
      <c r="B13" s="16"/>
      <c r="D13" s="5" t="s">
        <v>16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20">
        <v>0</v>
      </c>
    </row>
    <row r="14" spans="1:32" ht="18" customHeight="1" x14ac:dyDescent="0.35">
      <c r="B14" s="21"/>
      <c r="C14" s="22"/>
      <c r="D14" s="22" t="s">
        <v>17</v>
      </c>
      <c r="E14" s="22"/>
      <c r="F14" s="23">
        <f>SUM(F8:F13)</f>
        <v>76</v>
      </c>
      <c r="G14" s="23">
        <v>317</v>
      </c>
      <c r="H14" s="23">
        <v>550</v>
      </c>
      <c r="I14" s="23">
        <v>429</v>
      </c>
      <c r="J14" s="23">
        <v>347</v>
      </c>
      <c r="K14" s="24">
        <v>391</v>
      </c>
    </row>
    <row r="15" spans="1:32" ht="9" customHeight="1" x14ac:dyDescent="0.35">
      <c r="B15" s="26"/>
      <c r="C15" s="26"/>
      <c r="D15" s="26"/>
      <c r="E15" s="26"/>
      <c r="F15" s="25"/>
      <c r="G15" s="25"/>
      <c r="H15" s="25"/>
      <c r="I15" s="25"/>
      <c r="J15" s="25"/>
      <c r="K15" s="27"/>
    </row>
    <row r="16" spans="1:32" ht="18" customHeight="1" x14ac:dyDescent="0.35">
      <c r="B16" s="12"/>
      <c r="C16" s="13" t="s">
        <v>18</v>
      </c>
      <c r="D16" s="28"/>
      <c r="E16" s="28"/>
      <c r="F16" s="29"/>
      <c r="G16" s="29"/>
      <c r="H16" s="29"/>
      <c r="I16" s="29"/>
      <c r="J16" s="29"/>
      <c r="K16" s="30"/>
    </row>
    <row r="17" spans="2:11" ht="18" customHeight="1" x14ac:dyDescent="0.35">
      <c r="B17" s="16"/>
      <c r="C17" s="31"/>
      <c r="D17" t="s">
        <v>11</v>
      </c>
      <c r="F17" s="32">
        <f>+GETPIVOTDATA("FISCAL YEAR Firm Issued",'[1]Pivot Tables'!$A$18,"Type of Project","232nc")</f>
        <v>1</v>
      </c>
      <c r="G17" s="32">
        <v>1</v>
      </c>
      <c r="H17" s="32">
        <v>4</v>
      </c>
      <c r="I17" s="32">
        <v>4</v>
      </c>
      <c r="J17" s="32">
        <v>6</v>
      </c>
      <c r="K17" s="33">
        <v>8</v>
      </c>
    </row>
    <row r="18" spans="2:11" ht="18" customHeight="1" x14ac:dyDescent="0.35">
      <c r="B18" s="16"/>
      <c r="C18" s="31"/>
      <c r="D18" s="5" t="s">
        <v>12</v>
      </c>
      <c r="F18" s="17">
        <v>0</v>
      </c>
      <c r="G18" s="17">
        <v>1</v>
      </c>
      <c r="H18" s="17">
        <v>0</v>
      </c>
      <c r="I18" s="17">
        <v>11</v>
      </c>
      <c r="J18" s="17">
        <v>8</v>
      </c>
      <c r="K18" s="20">
        <v>16</v>
      </c>
    </row>
    <row r="19" spans="2:11" ht="18" customHeight="1" x14ac:dyDescent="0.35">
      <c r="B19" s="16"/>
      <c r="C19" s="31"/>
      <c r="D19" s="5" t="s">
        <v>13</v>
      </c>
      <c r="F19" s="17">
        <f>GETPIVOTDATA("FISCAL YEAR Firm Issued",'[1]Pivot Tables'!$A$18,"Type of Project","223f")</f>
        <v>76</v>
      </c>
      <c r="G19" s="17">
        <v>169</v>
      </c>
      <c r="H19" s="17">
        <v>179</v>
      </c>
      <c r="I19" s="17">
        <v>240</v>
      </c>
      <c r="J19" s="17">
        <v>299</v>
      </c>
      <c r="K19" s="20">
        <v>285</v>
      </c>
    </row>
    <row r="20" spans="2:11" ht="18" customHeight="1" x14ac:dyDescent="0.35">
      <c r="B20" s="16"/>
      <c r="C20" s="31"/>
      <c r="D20" s="5" t="s">
        <v>14</v>
      </c>
      <c r="F20" s="17">
        <f>+GETPIVOTDATA("FISCAL YEAR Firm Issued",'[1]Pivot Tables'!$A$18,"Type of Project","223a7")</f>
        <v>1</v>
      </c>
      <c r="G20" s="17">
        <v>108</v>
      </c>
      <c r="H20" s="17">
        <v>207</v>
      </c>
      <c r="I20" s="17">
        <v>78</v>
      </c>
      <c r="J20" s="17">
        <v>1</v>
      </c>
      <c r="K20" s="20">
        <v>9</v>
      </c>
    </row>
    <row r="21" spans="2:11" ht="18" customHeight="1" x14ac:dyDescent="0.35">
      <c r="B21" s="16"/>
      <c r="C21" s="31"/>
      <c r="D21" s="5" t="s">
        <v>15</v>
      </c>
      <c r="F21" s="17">
        <v>0</v>
      </c>
      <c r="G21" s="17">
        <v>0</v>
      </c>
      <c r="H21" s="17">
        <v>36</v>
      </c>
      <c r="I21" s="17">
        <v>1</v>
      </c>
      <c r="J21" s="17">
        <v>0</v>
      </c>
      <c r="K21" s="20">
        <v>0</v>
      </c>
    </row>
    <row r="22" spans="2:11" ht="18" customHeight="1" x14ac:dyDescent="0.35">
      <c r="B22" s="16"/>
      <c r="C22" s="31"/>
      <c r="D22" s="5" t="s">
        <v>16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20">
        <v>0</v>
      </c>
    </row>
    <row r="23" spans="2:11" ht="18" customHeight="1" x14ac:dyDescent="0.35">
      <c r="B23" s="21"/>
      <c r="C23" s="13"/>
      <c r="D23" s="22" t="s">
        <v>17</v>
      </c>
      <c r="E23" s="22"/>
      <c r="F23" s="23">
        <f>SUM(F17:F21)</f>
        <v>78</v>
      </c>
      <c r="G23" s="23">
        <v>279</v>
      </c>
      <c r="H23" s="23">
        <v>426</v>
      </c>
      <c r="I23" s="23">
        <v>334</v>
      </c>
      <c r="J23" s="23">
        <v>314</v>
      </c>
      <c r="K23" s="24">
        <v>318</v>
      </c>
    </row>
    <row r="24" spans="2:11" ht="18" customHeight="1" x14ac:dyDescent="0.35">
      <c r="B24" s="12"/>
      <c r="C24" s="13" t="s">
        <v>19</v>
      </c>
      <c r="D24" s="28"/>
      <c r="E24" s="28"/>
      <c r="F24" s="34"/>
      <c r="G24" s="34"/>
      <c r="H24" s="34"/>
      <c r="I24" s="34"/>
      <c r="J24" s="34"/>
      <c r="K24" s="35"/>
    </row>
    <row r="25" spans="2:11" ht="18" customHeight="1" x14ac:dyDescent="0.35">
      <c r="B25" s="16"/>
      <c r="C25" s="31"/>
      <c r="D25" t="s">
        <v>11</v>
      </c>
      <c r="F25" s="17">
        <f>+GETPIVOTDATA("FISCAL YEAR Latest Project Status Date",'[1]Pivot Tables'!$A$46,"Project Status","Rejected","Type of Project","232nc","FISCAL YEAR Latest Project Status Date",2023)</f>
        <v>1</v>
      </c>
      <c r="G25" s="17">
        <v>0</v>
      </c>
      <c r="H25" s="17">
        <v>0</v>
      </c>
      <c r="I25" s="17">
        <v>0</v>
      </c>
      <c r="J25" s="17">
        <v>0</v>
      </c>
      <c r="K25" s="20">
        <v>1</v>
      </c>
    </row>
    <row r="26" spans="2:11" ht="18" customHeight="1" x14ac:dyDescent="0.35">
      <c r="B26" s="16"/>
      <c r="C26" s="31"/>
      <c r="D26" s="5" t="s">
        <v>12</v>
      </c>
      <c r="F26" s="17">
        <f>+GETPIVOTDATA("FISCAL YEAR Latest Project Status Date",'[1]Pivot Tables'!$A$46,"Project Status","Rejected","Type of Project","241a","FISCAL YEAR Latest Project Status Date",2023)</f>
        <v>1</v>
      </c>
      <c r="G26" s="17">
        <v>0</v>
      </c>
      <c r="H26" s="17">
        <v>0</v>
      </c>
      <c r="I26" s="17">
        <v>0</v>
      </c>
      <c r="J26" s="17">
        <v>0</v>
      </c>
      <c r="K26" s="20">
        <v>0</v>
      </c>
    </row>
    <row r="27" spans="2:11" ht="18" customHeight="1" x14ac:dyDescent="0.35">
      <c r="B27" s="16"/>
      <c r="C27" s="31"/>
      <c r="D27" s="5" t="s">
        <v>13</v>
      </c>
      <c r="F27" s="17">
        <f>GETPIVOTDATA("FISCAL YEAR Latest Project Status Date",'[1]Pivot Tables'!$A$46,"Project Status","Rejected","Type of Project","223f","FISCAL YEAR Latest Project Status Date",2023)</f>
        <v>39</v>
      </c>
      <c r="G27" s="17">
        <v>4</v>
      </c>
      <c r="H27" s="17">
        <v>1</v>
      </c>
      <c r="I27" s="17">
        <v>23</v>
      </c>
      <c r="J27" s="17">
        <v>26</v>
      </c>
      <c r="K27" s="20">
        <v>5</v>
      </c>
    </row>
    <row r="28" spans="2:11" ht="18" customHeight="1" x14ac:dyDescent="0.35">
      <c r="B28" s="16"/>
      <c r="C28" s="31"/>
      <c r="D28" s="5" t="s">
        <v>14</v>
      </c>
      <c r="F28" s="17">
        <f>+GETPIVOTDATA("FISCAL YEAR Latest Project Status Date",'[1]Pivot Tables'!$A$46,"Project Status","Rejected","Type of Project","223a7","FISCAL YEAR Latest Project Status Date",2023)</f>
        <v>3</v>
      </c>
      <c r="G28" s="17">
        <v>0</v>
      </c>
      <c r="H28" s="17">
        <v>0</v>
      </c>
      <c r="I28" s="17">
        <v>0</v>
      </c>
      <c r="J28" s="17">
        <v>1</v>
      </c>
      <c r="K28" s="20">
        <v>1</v>
      </c>
    </row>
    <row r="29" spans="2:11" ht="18" customHeight="1" x14ac:dyDescent="0.35">
      <c r="B29" s="16"/>
      <c r="C29" s="31"/>
      <c r="D29" s="5" t="s">
        <v>15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20">
        <v>0</v>
      </c>
    </row>
    <row r="30" spans="2:11" ht="18" customHeight="1" x14ac:dyDescent="0.35">
      <c r="B30" s="16"/>
      <c r="C30" s="31"/>
      <c r="D30" s="5" t="s">
        <v>16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20">
        <v>0</v>
      </c>
    </row>
    <row r="31" spans="2:11" ht="18" customHeight="1" x14ac:dyDescent="0.35">
      <c r="B31" s="21"/>
      <c r="C31" s="13"/>
      <c r="D31" s="22" t="s">
        <v>17</v>
      </c>
      <c r="E31" s="22"/>
      <c r="F31" s="23">
        <f>SUM(F25:F29)</f>
        <v>44</v>
      </c>
      <c r="G31" s="23">
        <v>4</v>
      </c>
      <c r="H31" s="23">
        <v>1</v>
      </c>
      <c r="I31" s="23">
        <v>23</v>
      </c>
      <c r="J31" s="23">
        <v>27</v>
      </c>
      <c r="K31" s="24">
        <v>7</v>
      </c>
    </row>
    <row r="32" spans="2:11" ht="18" customHeight="1" x14ac:dyDescent="0.35">
      <c r="B32" s="21"/>
      <c r="C32" s="22" t="s">
        <v>20</v>
      </c>
      <c r="D32" s="22"/>
      <c r="E32" s="22"/>
      <c r="F32" s="23">
        <f>F23+F31</f>
        <v>122</v>
      </c>
      <c r="G32" s="23">
        <v>283</v>
      </c>
      <c r="H32" s="23">
        <v>427</v>
      </c>
      <c r="I32" s="23">
        <v>357</v>
      </c>
      <c r="J32" s="23">
        <v>341</v>
      </c>
      <c r="K32" s="24">
        <v>325</v>
      </c>
    </row>
    <row r="33" spans="2:11" ht="18" customHeight="1" x14ac:dyDescent="0.35">
      <c r="C33" s="31"/>
      <c r="F33" s="36"/>
      <c r="G33" s="36"/>
      <c r="H33" s="36"/>
      <c r="I33" s="36"/>
      <c r="J33" s="36"/>
      <c r="K33" s="7"/>
    </row>
    <row r="34" spans="2:11" ht="18" customHeight="1" x14ac:dyDescent="0.35">
      <c r="B34" s="12"/>
      <c r="C34" s="13" t="s">
        <v>21</v>
      </c>
      <c r="D34" s="28"/>
      <c r="E34" s="28"/>
      <c r="F34" s="29"/>
      <c r="G34" s="29"/>
      <c r="H34" s="29"/>
      <c r="I34" s="29"/>
      <c r="J34" s="29"/>
      <c r="K34" s="30"/>
    </row>
    <row r="35" spans="2:11" ht="18" customHeight="1" x14ac:dyDescent="0.35">
      <c r="B35" s="16"/>
      <c r="C35" s="37"/>
      <c r="D35" t="s">
        <v>11</v>
      </c>
      <c r="F35" s="38">
        <f>+GETPIVOTDATA("FISCAL YEAR Closed",'[1]Pivot Tables'!$R$16,"Type of Project","232nc")</f>
        <v>1</v>
      </c>
      <c r="G35" s="38">
        <v>2</v>
      </c>
      <c r="H35" s="38">
        <v>1</v>
      </c>
      <c r="I35" s="38">
        <v>6</v>
      </c>
      <c r="J35" s="38">
        <v>9</v>
      </c>
      <c r="K35" s="33">
        <v>11</v>
      </c>
    </row>
    <row r="36" spans="2:11" ht="18" customHeight="1" x14ac:dyDescent="0.35">
      <c r="B36" s="16"/>
      <c r="C36" s="37"/>
      <c r="D36" s="5" t="s">
        <v>12</v>
      </c>
      <c r="F36" s="39">
        <v>0</v>
      </c>
      <c r="G36" s="39">
        <v>1</v>
      </c>
      <c r="H36" s="39">
        <v>2</v>
      </c>
      <c r="I36" s="39">
        <v>9</v>
      </c>
      <c r="J36" s="39">
        <v>8</v>
      </c>
      <c r="K36" s="20">
        <v>16</v>
      </c>
    </row>
    <row r="37" spans="2:11" ht="18" customHeight="1" x14ac:dyDescent="0.35">
      <c r="B37" s="16"/>
      <c r="C37" s="37"/>
      <c r="D37" s="5" t="s">
        <v>13</v>
      </c>
      <c r="F37" s="39">
        <f>GETPIVOTDATA("FISCAL YEAR Closed",'[1]Pivot Tables'!$R$16,"Type of Project","223f")</f>
        <v>79</v>
      </c>
      <c r="G37" s="39">
        <v>148</v>
      </c>
      <c r="H37" s="39">
        <v>167</v>
      </c>
      <c r="I37" s="39">
        <v>253</v>
      </c>
      <c r="J37" s="39">
        <v>269</v>
      </c>
      <c r="K37" s="20">
        <v>287</v>
      </c>
    </row>
    <row r="38" spans="2:11" ht="18" customHeight="1" x14ac:dyDescent="0.35">
      <c r="B38" s="16"/>
      <c r="C38" s="37"/>
      <c r="D38" s="5" t="s">
        <v>14</v>
      </c>
      <c r="F38" s="39">
        <f>+GETPIVOTDATA("FISCAL YEAR Closed",'[1]Pivot Tables'!$R$16,"Type of Project","223a7")</f>
        <v>19</v>
      </c>
      <c r="G38" s="39">
        <v>95</v>
      </c>
      <c r="H38" s="39">
        <v>132</v>
      </c>
      <c r="I38" s="39">
        <v>54</v>
      </c>
      <c r="J38" s="39">
        <v>2</v>
      </c>
      <c r="K38" s="20">
        <v>8</v>
      </c>
    </row>
    <row r="39" spans="2:11" ht="18" customHeight="1" x14ac:dyDescent="0.35">
      <c r="B39" s="16"/>
      <c r="C39" s="37"/>
      <c r="D39" s="5" t="s">
        <v>15</v>
      </c>
      <c r="F39" s="39">
        <v>0</v>
      </c>
      <c r="G39" s="39">
        <v>23</v>
      </c>
      <c r="H39" s="39">
        <v>0</v>
      </c>
      <c r="I39" s="39">
        <v>1</v>
      </c>
      <c r="J39" s="39">
        <v>0</v>
      </c>
      <c r="K39" s="20">
        <v>0</v>
      </c>
    </row>
    <row r="40" spans="2:11" ht="18" customHeight="1" x14ac:dyDescent="0.35">
      <c r="B40" s="16"/>
      <c r="C40" s="37"/>
      <c r="D40" s="5" t="s">
        <v>16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1">
        <v>1</v>
      </c>
    </row>
    <row r="41" spans="2:11" ht="18" customHeight="1" x14ac:dyDescent="0.35">
      <c r="B41" s="21"/>
      <c r="C41" s="13"/>
      <c r="D41" s="22" t="s">
        <v>17</v>
      </c>
      <c r="E41" s="22"/>
      <c r="F41" s="23">
        <f>SUM(F35:F39)</f>
        <v>99</v>
      </c>
      <c r="G41" s="23">
        <v>269</v>
      </c>
      <c r="H41" s="23">
        <v>302</v>
      </c>
      <c r="I41" s="23">
        <v>323</v>
      </c>
      <c r="J41" s="23">
        <v>288</v>
      </c>
      <c r="K41" s="24">
        <v>323</v>
      </c>
    </row>
    <row r="42" spans="2:11" ht="18" customHeight="1" x14ac:dyDescent="0.35">
      <c r="B42" s="26"/>
      <c r="C42" s="31"/>
      <c r="D42" s="26"/>
      <c r="E42" s="26"/>
      <c r="F42" s="25"/>
      <c r="G42" s="25"/>
      <c r="H42" s="25"/>
      <c r="I42" s="25"/>
      <c r="J42" s="25"/>
      <c r="K42" s="27"/>
    </row>
    <row r="43" spans="2:11" ht="18" customHeight="1" x14ac:dyDescent="0.35">
      <c r="B43" s="12"/>
      <c r="C43" s="13" t="s">
        <v>22</v>
      </c>
      <c r="D43" s="28"/>
      <c r="E43" s="28"/>
      <c r="F43" s="29"/>
      <c r="G43" s="29"/>
      <c r="H43" s="29"/>
      <c r="I43" s="29"/>
      <c r="J43" s="29"/>
      <c r="K43" s="30"/>
    </row>
    <row r="44" spans="2:11" ht="18" customHeight="1" x14ac:dyDescent="0.35">
      <c r="B44" s="16"/>
      <c r="C44" s="37"/>
      <c r="D44" s="5" t="s">
        <v>23</v>
      </c>
      <c r="F44" s="42">
        <v>0</v>
      </c>
      <c r="G44" s="42">
        <v>73</v>
      </c>
      <c r="H44" s="42">
        <v>240</v>
      </c>
      <c r="I44" s="42">
        <v>323</v>
      </c>
      <c r="J44" s="42">
        <v>24</v>
      </c>
      <c r="K44" s="43">
        <v>83</v>
      </c>
    </row>
    <row r="45" spans="2:11" ht="18" customHeight="1" x14ac:dyDescent="0.35">
      <c r="B45" s="44"/>
      <c r="C45" s="22" t="s">
        <v>17</v>
      </c>
      <c r="D45" s="22"/>
      <c r="E45" s="45"/>
      <c r="F45" s="23">
        <f>SUM(F44)</f>
        <v>0</v>
      </c>
      <c r="G45" s="23">
        <v>73</v>
      </c>
      <c r="H45" s="23">
        <v>240</v>
      </c>
      <c r="I45" s="23">
        <v>323</v>
      </c>
      <c r="J45" s="23">
        <v>24</v>
      </c>
      <c r="K45" s="24">
        <v>83</v>
      </c>
    </row>
    <row r="46" spans="2:11" ht="10.5" customHeight="1" x14ac:dyDescent="0.35">
      <c r="C46" s="31"/>
      <c r="F46" s="36"/>
      <c r="G46" s="36"/>
      <c r="H46" s="36"/>
      <c r="I46" s="36"/>
      <c r="K46" s="36"/>
    </row>
    <row r="47" spans="2:11" ht="18" customHeight="1" x14ac:dyDescent="0.35">
      <c r="B47" s="46"/>
      <c r="C47" s="47" t="s">
        <v>24</v>
      </c>
      <c r="D47" s="48"/>
      <c r="E47" s="48"/>
      <c r="F47" s="49">
        <f>GETPIVOTDATA("FISCAL YEAR Latest Project Status Date",'[1]Pivot Tables'!$A$46,"Project Status","Firm Review")</f>
        <v>64</v>
      </c>
      <c r="G47" s="50" t="s">
        <v>25</v>
      </c>
      <c r="H47" s="49"/>
      <c r="I47" s="49"/>
      <c r="J47" s="49"/>
      <c r="K47" s="51"/>
    </row>
    <row r="48" spans="2:11" ht="31.5" customHeight="1" x14ac:dyDescent="0.35">
      <c r="B48" s="16"/>
      <c r="C48" s="52" t="s">
        <v>26</v>
      </c>
      <c r="D48" s="53"/>
      <c r="E48" s="54"/>
      <c r="F48" s="55">
        <f>GETPIVOTDATA("FISCAL YEAR Latest Project Status Date",'[1]Pivot Tables'!$A$46,"Project Status","In Firm Queue")</f>
        <v>26</v>
      </c>
      <c r="G48" s="56"/>
      <c r="H48" s="55"/>
      <c r="I48" s="55"/>
      <c r="J48" s="55"/>
      <c r="K48" s="57"/>
    </row>
    <row r="49" spans="2:11" x14ac:dyDescent="0.35">
      <c r="B49" s="16"/>
      <c r="E49" s="5" t="s">
        <v>27</v>
      </c>
      <c r="F49" s="17">
        <v>0</v>
      </c>
      <c r="G49" s="17"/>
      <c r="H49" s="58"/>
      <c r="I49" s="17"/>
      <c r="J49" s="17"/>
      <c r="K49" s="39"/>
    </row>
    <row r="50" spans="2:11" x14ac:dyDescent="0.35">
      <c r="B50" s="16"/>
      <c r="E50" s="5" t="s">
        <v>28</v>
      </c>
      <c r="F50" s="17">
        <f>GETPIVOTDATA("FISCAL YEAR Latest Project Status Date",'[1]Pivot Tables'!$A$46,"Project Status","In Firm Queue","Type of Project","223f")</f>
        <v>26</v>
      </c>
      <c r="G50" s="59">
        <f>+GETPIVOTDATA("Average of Days in Firm Queue",'[1]Pivot Tables'!$A$128)</f>
        <v>29.53846153846154</v>
      </c>
      <c r="I50" s="17"/>
      <c r="J50" s="17"/>
      <c r="K50" s="39"/>
    </row>
    <row r="51" spans="2:11" x14ac:dyDescent="0.35">
      <c r="B51" s="16"/>
      <c r="E51" s="60" t="s">
        <v>29</v>
      </c>
      <c r="F51" s="61">
        <f>F52+F54+F53+F56+F55</f>
        <v>0</v>
      </c>
      <c r="G51" s="61"/>
      <c r="H51" s="61"/>
      <c r="I51" s="61"/>
      <c r="J51" s="61"/>
      <c r="K51" s="61"/>
    </row>
    <row r="52" spans="2:11" x14ac:dyDescent="0.35">
      <c r="B52" s="16"/>
      <c r="E52" s="62" t="s">
        <v>30</v>
      </c>
      <c r="F52" s="63">
        <v>0</v>
      </c>
      <c r="G52" s="63"/>
      <c r="H52" s="63"/>
      <c r="I52" s="63"/>
      <c r="J52" s="63"/>
      <c r="K52" s="63"/>
    </row>
    <row r="53" spans="2:11" x14ac:dyDescent="0.35">
      <c r="B53" s="16"/>
      <c r="E53" s="62" t="s">
        <v>31</v>
      </c>
      <c r="F53" s="63">
        <v>0</v>
      </c>
      <c r="G53" s="63"/>
      <c r="H53" s="63"/>
      <c r="I53" s="63"/>
      <c r="J53" s="63"/>
      <c r="K53" s="63"/>
    </row>
    <row r="54" spans="2:11" x14ac:dyDescent="0.35">
      <c r="B54" s="16"/>
      <c r="E54" s="62" t="s">
        <v>32</v>
      </c>
      <c r="F54" s="63">
        <v>0</v>
      </c>
      <c r="G54" s="63"/>
      <c r="H54" s="63"/>
      <c r="I54" s="63"/>
      <c r="J54" s="63"/>
      <c r="K54" s="63"/>
    </row>
    <row r="55" spans="2:11" x14ac:dyDescent="0.35">
      <c r="B55" s="16"/>
      <c r="E55" s="62" t="s">
        <v>33</v>
      </c>
      <c r="F55" s="63">
        <v>0</v>
      </c>
      <c r="G55" s="63"/>
      <c r="H55" s="63"/>
      <c r="I55" s="63"/>
      <c r="J55" s="63"/>
      <c r="K55" s="63"/>
    </row>
    <row r="56" spans="2:11" x14ac:dyDescent="0.35">
      <c r="B56" s="64"/>
      <c r="C56" s="65"/>
      <c r="D56" s="65"/>
      <c r="E56" s="66" t="s">
        <v>34</v>
      </c>
      <c r="F56" s="67">
        <v>0</v>
      </c>
      <c r="G56" s="67"/>
      <c r="H56" s="67"/>
      <c r="I56" s="67"/>
      <c r="J56" s="67"/>
      <c r="K56" s="67"/>
    </row>
    <row r="57" spans="2:11" x14ac:dyDescent="0.35">
      <c r="F57" s="26"/>
      <c r="G57" s="26"/>
      <c r="H57" s="26"/>
      <c r="I57" s="26"/>
      <c r="J57" s="27"/>
      <c r="K57" s="26"/>
    </row>
    <row r="58" spans="2:11" ht="15" x14ac:dyDescent="0.35">
      <c r="B58" s="68"/>
    </row>
    <row r="59" spans="2:11" x14ac:dyDescent="0.35">
      <c r="B59" s="69"/>
    </row>
  </sheetData>
  <mergeCells count="1">
    <mergeCell ref="G47:G48"/>
  </mergeCells>
  <printOptions horizontalCentered="1"/>
  <pageMargins left="0.34" right="0.3" top="0.52" bottom="0.47" header="0.3" footer="0.3"/>
  <pageSetup scale="71" orientation="portrait" horizontalDpi="360" verticalDpi="360" r:id="rId1"/>
  <headerFooter>
    <oddFooter>&amp;L&amp;F&amp;R&amp;D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Report</vt:lpstr>
      <vt:lpstr>'Summary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Rich, Shawn Y</dc:creator>
  <cp:lastModifiedBy>Rich, Shawn Y</cp:lastModifiedBy>
  <dcterms:created xsi:type="dcterms:W3CDTF">2023-04-10T13:35:14Z</dcterms:created>
  <dcterms:modified xsi:type="dcterms:W3CDTF">2023-04-10T13:36:28Z</dcterms:modified>
</cp:coreProperties>
</file>